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35" windowWidth="9675" windowHeight="7950" activeTab="0"/>
  </bookViews>
  <sheets>
    <sheet name="План-Факт затрат2012г" sheetId="1" r:id="rId1"/>
    <sheet name="Балансы 2012 г." sheetId="2" r:id="rId2"/>
    <sheet name="Лист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<sst xmlns="http://schemas.openxmlformats.org/spreadsheetml/2006/main" count="215" uniqueCount="119">
  <si>
    <t>Приложение № 2</t>
  </si>
  <si>
    <t>к Приказу Федеральной</t>
  </si>
  <si>
    <t>службы по тарифам</t>
  </si>
  <si>
    <t>от 02.03.2011 № 56-э</t>
  </si>
  <si>
    <t>Объединенный Институт Ядерных Исследований  г.Дубна Моск.обл. за 2012 год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</si>
  <si>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</si>
  <si>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</si>
  <si>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</si>
  <si>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</si>
  <si>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№ п/п</t>
  </si>
  <si>
    <t>Показатель</t>
  </si>
  <si>
    <t>Ед.
изм.</t>
  </si>
  <si>
    <t>Год 2012</t>
  </si>
  <si>
    <t>Примечание ***</t>
  </si>
  <si>
    <t>план *</t>
  </si>
  <si>
    <t>факт 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</si>
  <si>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</si>
  <si>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</si>
  <si>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</si>
  <si>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</si>
  <si>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</si>
  <si>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</si>
  <si>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Себестоимость, всего, 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</si>
  <si>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</si>
  <si>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</si>
  <si>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</si>
  <si>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</si>
  <si>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</si>
  <si>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 и отчисления на социальные нужды, всего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</si>
  <si>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</si>
  <si>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</si>
  <si>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</si>
  <si>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</si>
  <si>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</si>
  <si>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</si>
  <si>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</si>
  <si>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</si>
  <si>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</si>
  <si>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</si>
  <si>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</si>
  <si>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1.2</t>
  </si>
  <si>
    <t>Прибыль до налогообложения</t>
  </si>
  <si>
    <t>1.2.1</t>
  </si>
  <si>
    <t>Налог на прибыль</t>
  </si>
  <si>
    <t>1.2.2</t>
  </si>
  <si>
    <t>Чистая прибыль, всего, в том числе: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</si>
  <si>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</si>
  <si>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</si>
  <si>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</si>
  <si>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</si>
  <si>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</si>
  <si>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</si>
  <si>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</si>
  <si>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</si>
  <si>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</si>
  <si>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</si>
  <si>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</si>
  <si>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(п. 1.1.1.1 + п. 1.1.1.2)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</si>
  <si>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</si>
  <si>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</si>
  <si>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</si>
  <si>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Примечание: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</si>
  <si>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</si>
  <si>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</si>
  <si>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</si>
  <si>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Транспортный баланс электрической энергии ОИЯИ в 2012 году (млн .кВтч.)</t>
  </si>
  <si>
    <t>Показатели</t>
  </si>
  <si>
    <t>Период регулирования (2012)  ТЭКМО</t>
  </si>
  <si>
    <t>факт 2012 год</t>
  </si>
  <si>
    <t>Всего</t>
  </si>
  <si>
    <t>ВН</t>
  </si>
  <si>
    <t>СН1</t>
  </si>
  <si>
    <t>СН11</t>
  </si>
  <si>
    <t>НН</t>
  </si>
  <si>
    <t>СН2</t>
  </si>
  <si>
    <t xml:space="preserve">Поступление эл.энергии в сеть , ВСЕГО </t>
  </si>
  <si>
    <t xml:space="preserve">Потери электроэнергии в сети </t>
  </si>
  <si>
    <t>то же в %</t>
  </si>
  <si>
    <t>Полезный отпуск из сети потребителям ОАО"Мосэнергосбыт"и смежной сети</t>
  </si>
  <si>
    <t>Нормативные технологических потери эл.энергии при ее передаче по сетям ОИЯИ на 2012г. утвержденны Приказом Минэнего России №358 от 18.08.2011 г.в размере - 1,32%</t>
  </si>
  <si>
    <t>Баланс электрической энергии по сетям ВН, СН1, СН2, и НН</t>
  </si>
  <si>
    <t>млн. кВт.ч.</t>
  </si>
  <si>
    <t>№ п.п.</t>
  </si>
  <si>
    <t>Принято регулирующим органом на 2012 год</t>
  </si>
  <si>
    <t>1.</t>
  </si>
  <si>
    <t>1.1.</t>
  </si>
  <si>
    <t>из смежной сети, всего</t>
  </si>
  <si>
    <t>х</t>
  </si>
  <si>
    <t xml:space="preserve">    в том числе из сети</t>
  </si>
  <si>
    <t>1.1.1.</t>
  </si>
  <si>
    <t>1.1.2.</t>
  </si>
  <si>
    <t>1.1.3.</t>
  </si>
  <si>
    <t>1.2.</t>
  </si>
  <si>
    <t>от электростанций</t>
  </si>
  <si>
    <t>1.3.</t>
  </si>
  <si>
    <t>от ОАО "ФСК ЕЭС"</t>
  </si>
  <si>
    <t>1.4.</t>
  </si>
  <si>
    <t>от ОАО "МОЭсК"</t>
  </si>
  <si>
    <t>1.5.</t>
  </si>
  <si>
    <t>от других сетевых организаций</t>
  </si>
  <si>
    <t>2.</t>
  </si>
  <si>
    <t>2.1.</t>
  </si>
  <si>
    <t>то же в % (п.2./п.1.)</t>
  </si>
  <si>
    <t>3.</t>
  </si>
  <si>
    <t>Расход электроэнергии на производственные и хознужды</t>
  </si>
  <si>
    <t>4.</t>
  </si>
  <si>
    <t xml:space="preserve">Полезный отпуск из сети </t>
  </si>
  <si>
    <t>4.1.</t>
  </si>
  <si>
    <t>потребителям, присоединенным к сети</t>
  </si>
  <si>
    <t>4.2.</t>
  </si>
  <si>
    <t>переток в ОАО "МОЭсК"</t>
  </si>
  <si>
    <t>4.3.</t>
  </si>
  <si>
    <t>переток в другие сетевые организации</t>
  </si>
  <si>
    <t>Проверка</t>
  </si>
  <si>
    <t>Факт 2012 год</t>
  </si>
  <si>
    <t>Принято регулирующим органом на 2013 год</t>
  </si>
  <si>
    <t>Фактически технологические потери эл.энергии на транспорт в сетях ОИЯИ в 2012г. составили  -2,034 млн .кВтч.</t>
  </si>
  <si>
    <t>Возмещение стоимости покупки этих потерь -  2978,116 тыс.руб.</t>
  </si>
  <si>
    <t>или - 1,4192% от поступления в сеть.Стоимость покупки этих потерь за данный период  -  2927,764 тыс.руб.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</si>
</sst>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#,##0.0000"/>
    <numFmt numFmtId="182" formatCode="0.000"/>
    <numFmt numFmtId="183" formatCode="0.0"/>
  </numFmts>
  <fonts count="20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9"/>
      <name val="Tahoma"/>
      <family val="2"/>
    </font>
    <font>
      <sz val="12"/>
      <name val="Times New Roman"/>
      <family val="1"/>
    </font>
    <font>
      <sz val="8"/>
      <name val="Times New Roman Cyr"/>
      <family val="1"/>
    </font>
    <font>
      <sz val="9"/>
      <name val="Times New Roman Cyr"/>
      <family val="1"/>
    </font>
    <font>
      <sz val="12"/>
      <color indexed="8"/>
      <name val="Times New Roman CYR"/>
      <family val="0"/>
    </font>
    <font>
      <sz val="9"/>
      <name val="Tahoma"/>
      <family val="2"/>
    </font>
    <font>
      <b/>
      <sz val="14"/>
      <name val="Times New Roman"/>
      <family val="1"/>
    </font>
    <font>
      <b/>
      <sz val="14"/>
      <name val="Franklin Gothic Medium"/>
      <family val="2"/>
    </font>
    <font>
      <sz val="10"/>
      <color indexed="9"/>
      <name val="Arial"/>
      <family val="0"/>
    </font>
    <font>
      <sz val="11"/>
      <color indexed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10" fillId="0" borderId="1" applyBorder="0">
      <alignment horizontal="center" vertical="center" wrapText="1"/>
      <protection/>
    </xf>
    <xf numFmtId="4" fontId="15" fillId="2" borderId="2" applyBorder="0">
      <alignment horizontal="right"/>
      <protection/>
    </xf>
    <xf numFmtId="0" fontId="8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15" fillId="3" borderId="0" applyFont="0" applyBorder="0">
      <alignment horizontal="right"/>
      <protection/>
    </xf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vertical="top" wrapText="1"/>
      <protection locked="0"/>
    </xf>
    <xf numFmtId="0" fontId="3" fillId="0" borderId="4" xfId="20" applyNumberFormat="1" applyFont="1" applyFill="1" applyBorder="1" applyAlignment="1" applyProtection="1">
      <alignment horizontal="center" vertical="center" wrapText="1"/>
      <protection/>
    </xf>
    <xf numFmtId="0" fontId="3" fillId="0" borderId="2" xfId="20" applyNumberFormat="1" applyFont="1" applyFill="1" applyBorder="1" applyAlignment="1" applyProtection="1">
      <alignment horizontal="center" vertical="center" wrapText="1"/>
      <protection/>
    </xf>
    <xf numFmtId="0" fontId="11" fillId="0" borderId="5" xfId="18" applyFont="1" applyBorder="1" applyProtection="1">
      <alignment horizontal="center" vertical="center" wrapText="1"/>
      <protection locked="0"/>
    </xf>
    <xf numFmtId="0" fontId="11" fillId="0" borderId="6" xfId="18" applyFont="1" applyBorder="1" applyProtection="1">
      <alignment horizontal="center" vertical="center" wrapText="1"/>
      <protection locked="0"/>
    </xf>
    <xf numFmtId="0" fontId="12" fillId="0" borderId="0" xfId="20" applyNumberFormat="1" applyFont="1" applyFill="1" applyBorder="1" applyAlignment="1" applyProtection="1">
      <alignment horizontal="center" vertical="top"/>
      <protection/>
    </xf>
    <xf numFmtId="0" fontId="9" fillId="0" borderId="2" xfId="20" applyNumberFormat="1" applyFont="1" applyFill="1" applyBorder="1" applyAlignment="1" applyProtection="1">
      <alignment horizontal="center" vertical="top" wrapText="1"/>
      <protection/>
    </xf>
    <xf numFmtId="0" fontId="12" fillId="0" borderId="4" xfId="20" applyNumberFormat="1" applyFont="1" applyFill="1" applyBorder="1" applyAlignment="1" applyProtection="1">
      <alignment horizontal="center" vertical="top" wrapText="1"/>
      <protection/>
    </xf>
    <xf numFmtId="0" fontId="12" fillId="0" borderId="2" xfId="20" applyNumberFormat="1" applyFont="1" applyFill="1" applyBorder="1" applyAlignment="1" applyProtection="1">
      <alignment horizontal="center" vertical="top"/>
      <protection/>
    </xf>
    <xf numFmtId="0" fontId="12" fillId="0" borderId="2" xfId="20" applyNumberFormat="1" applyFont="1" applyFill="1" applyBorder="1" applyAlignment="1" applyProtection="1">
      <alignment horizontal="center" vertical="top" wrapText="1"/>
      <protection/>
    </xf>
    <xf numFmtId="0" fontId="3" fillId="0" borderId="7" xfId="18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/>
    </xf>
    <xf numFmtId="0" fontId="3" fillId="0" borderId="3" xfId="18" applyFont="1" applyBorder="1" applyAlignment="1" applyProtection="1">
      <alignment horizontal="center" vertical="center" wrapText="1"/>
      <protection locked="0"/>
    </xf>
    <xf numFmtId="0" fontId="3" fillId="0" borderId="2" xfId="18" applyFont="1" applyBorder="1" applyAlignment="1" applyProtection="1">
      <alignment horizontal="center" vertical="center" wrapText="1"/>
      <protection locked="0"/>
    </xf>
    <xf numFmtId="0" fontId="13" fillId="0" borderId="0" xfId="20" applyFont="1" applyBorder="1" applyAlignment="1">
      <alignment horizontal="center" wrapText="1"/>
      <protection/>
    </xf>
    <xf numFmtId="0" fontId="11" fillId="0" borderId="2" xfId="20" applyFont="1" applyBorder="1" applyAlignment="1">
      <alignment wrapText="1"/>
      <protection/>
    </xf>
    <xf numFmtId="180" fontId="11" fillId="0" borderId="4" xfId="20" applyNumberFormat="1" applyFont="1" applyFill="1" applyBorder="1" applyAlignment="1">
      <alignment/>
      <protection/>
    </xf>
    <xf numFmtId="180" fontId="14" fillId="0" borderId="2" xfId="20" applyNumberFormat="1" applyFont="1" applyBorder="1">
      <alignment/>
      <protection/>
    </xf>
    <xf numFmtId="1" fontId="9" fillId="0" borderId="2" xfId="20" applyNumberFormat="1" applyFont="1" applyBorder="1">
      <alignment/>
      <protection/>
    </xf>
    <xf numFmtId="180" fontId="9" fillId="4" borderId="2" xfId="20" applyNumberFormat="1" applyFont="1" applyFill="1" applyBorder="1">
      <alignment/>
      <protection/>
    </xf>
    <xf numFmtId="2" fontId="9" fillId="0" borderId="2" xfId="20" applyNumberFormat="1" applyFont="1" applyBorder="1">
      <alignment/>
      <protection/>
    </xf>
    <xf numFmtId="181" fontId="11" fillId="0" borderId="8" xfId="25" applyNumberFormat="1" applyFont="1" applyFill="1" applyBorder="1" applyProtection="1">
      <alignment horizontal="right"/>
      <protection/>
    </xf>
    <xf numFmtId="181" fontId="11" fillId="0" borderId="9" xfId="25" applyNumberFormat="1" applyFont="1" applyFill="1" applyBorder="1" applyProtection="1">
      <alignment horizontal="right"/>
      <protection/>
    </xf>
    <xf numFmtId="3" fontId="11" fillId="0" borderId="9" xfId="25" applyNumberFormat="1" applyFont="1" applyFill="1" applyBorder="1" applyProtection="1">
      <alignment horizontal="right"/>
      <protection/>
    </xf>
    <xf numFmtId="180" fontId="11" fillId="0" borderId="4" xfId="20" applyNumberFormat="1" applyFont="1" applyBorder="1" applyAlignment="1">
      <alignment/>
      <protection/>
    </xf>
    <xf numFmtId="180" fontId="14" fillId="0" borderId="2" xfId="20" applyNumberFormat="1" applyFont="1" applyFill="1" applyBorder="1">
      <alignment/>
      <protection/>
    </xf>
    <xf numFmtId="1" fontId="11" fillId="0" borderId="2" xfId="20" applyNumberFormat="1" applyFont="1" applyFill="1" applyBorder="1" applyAlignment="1">
      <alignment/>
      <protection/>
    </xf>
    <xf numFmtId="180" fontId="11" fillId="0" borderId="2" xfId="20" applyNumberFormat="1" applyFont="1" applyFill="1" applyBorder="1" applyAlignment="1">
      <alignment/>
      <protection/>
    </xf>
    <xf numFmtId="2" fontId="11" fillId="4" borderId="2" xfId="20" applyNumberFormat="1" applyFont="1" applyFill="1" applyBorder="1" applyAlignment="1">
      <alignment/>
      <protection/>
    </xf>
    <xf numFmtId="181" fontId="11" fillId="0" borderId="4" xfId="25" applyNumberFormat="1" applyFont="1" applyFill="1" applyBorder="1" applyProtection="1">
      <alignment horizontal="right"/>
      <protection/>
    </xf>
    <xf numFmtId="181" fontId="11" fillId="0" borderId="2" xfId="25" applyNumberFormat="1" applyFont="1" applyFill="1" applyBorder="1" applyProtection="1">
      <alignment horizontal="right"/>
      <protection/>
    </xf>
    <xf numFmtId="3" fontId="11" fillId="0" borderId="2" xfId="25" applyNumberFormat="1" applyFont="1" applyFill="1" applyBorder="1" applyProtection="1">
      <alignment horizontal="right"/>
      <protection/>
    </xf>
    <xf numFmtId="2" fontId="11" fillId="0" borderId="2" xfId="20" applyNumberFormat="1" applyFont="1" applyFill="1" applyBorder="1" applyAlignment="1">
      <alignment/>
      <protection/>
    </xf>
    <xf numFmtId="181" fontId="11" fillId="0" borderId="2" xfId="25" applyNumberFormat="1" applyFont="1" applyFill="1" applyBorder="1" applyProtection="1">
      <alignment horizontal="right"/>
      <protection locked="0"/>
    </xf>
    <xf numFmtId="3" fontId="11" fillId="0" borderId="2" xfId="25" applyNumberFormat="1" applyFont="1" applyFill="1" applyBorder="1" applyProtection="1">
      <alignment horizontal="right"/>
      <protection locked="0"/>
    </xf>
    <xf numFmtId="181" fontId="11" fillId="0" borderId="2" xfId="25" applyNumberFormat="1" applyFont="1" applyFill="1" applyBorder="1" applyProtection="1">
      <alignment horizontal="right"/>
      <protection locked="0"/>
    </xf>
    <xf numFmtId="0" fontId="11" fillId="0" borderId="2" xfId="0" applyFont="1" applyBorder="1" applyAlignment="1" applyProtection="1">
      <alignment vertical="top" wrapText="1"/>
      <protection locked="0"/>
    </xf>
    <xf numFmtId="182" fontId="11" fillId="0" borderId="4" xfId="20" applyNumberFormat="1" applyFont="1" applyBorder="1" applyAlignment="1">
      <alignment/>
      <protection/>
    </xf>
    <xf numFmtId="182" fontId="11" fillId="0" borderId="2" xfId="20" applyNumberFormat="1" applyFont="1" applyFill="1" applyBorder="1" applyAlignment="1">
      <alignment/>
      <protection/>
    </xf>
    <xf numFmtId="2" fontId="11" fillId="0" borderId="2" xfId="20" applyNumberFormat="1" applyFont="1" applyBorder="1" applyAlignment="1">
      <alignment/>
      <protection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181" fontId="0" fillId="0" borderId="0" xfId="0" applyNumberForma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1" fillId="0" borderId="10" xfId="18" applyFont="1" applyBorder="1" applyProtection="1">
      <alignment horizontal="center" vertical="center" wrapText="1"/>
      <protection locked="0"/>
    </xf>
    <xf numFmtId="0" fontId="1" fillId="0" borderId="11" xfId="18" applyFont="1" applyBorder="1" applyProtection="1">
      <alignment horizontal="center" vertical="center" wrapText="1"/>
      <protection locked="0"/>
    </xf>
    <xf numFmtId="0" fontId="1" fillId="0" borderId="12" xfId="18" applyFont="1" applyBorder="1" applyProtection="1">
      <alignment horizontal="center" vertical="center" wrapText="1"/>
      <protection locked="0"/>
    </xf>
    <xf numFmtId="0" fontId="3" fillId="0" borderId="13" xfId="18" applyFont="1" applyBorder="1" applyProtection="1">
      <alignment horizontal="center" vertical="center" wrapText="1"/>
      <protection locked="0"/>
    </xf>
    <xf numFmtId="0" fontId="3" fillId="0" borderId="14" xfId="18" applyFont="1" applyBorder="1" applyAlignment="1" applyProtection="1">
      <alignment horizontal="center" vertical="center" wrapText="1"/>
      <protection locked="0"/>
    </xf>
    <xf numFmtId="0" fontId="3" fillId="0" borderId="15" xfId="18" applyFont="1" applyBorder="1" applyProtection="1">
      <alignment horizontal="center" vertical="center" wrapText="1"/>
      <protection locked="0"/>
    </xf>
    <xf numFmtId="0" fontId="3" fillId="0" borderId="16" xfId="18" applyFont="1" applyBorder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/>
      <protection locked="0"/>
    </xf>
    <xf numFmtId="0" fontId="11" fillId="0" borderId="18" xfId="0" applyFont="1" applyBorder="1" applyAlignment="1" applyProtection="1">
      <alignment vertical="top" wrapText="1"/>
      <protection locked="0"/>
    </xf>
    <xf numFmtId="181" fontId="11" fillId="3" borderId="17" xfId="25" applyNumberFormat="1" applyFont="1" applyBorder="1" applyProtection="1">
      <alignment horizontal="right"/>
      <protection/>
    </xf>
    <xf numFmtId="181" fontId="11" fillId="3" borderId="19" xfId="25" applyNumberFormat="1" applyFont="1" applyBorder="1" applyProtection="1">
      <alignment horizontal="right"/>
      <protection/>
    </xf>
    <xf numFmtId="181" fontId="11" fillId="3" borderId="20" xfId="25" applyNumberFormat="1" applyFont="1" applyBorder="1" applyProtection="1">
      <alignment horizontal="right"/>
      <protection/>
    </xf>
    <xf numFmtId="0" fontId="11" fillId="0" borderId="21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 vertical="top" wrapText="1"/>
      <protection locked="0"/>
    </xf>
    <xf numFmtId="181" fontId="11" fillId="0" borderId="21" xfId="0" applyNumberFormat="1" applyFont="1" applyBorder="1" applyAlignment="1" applyProtection="1">
      <alignment horizontal="center"/>
      <protection locked="0"/>
    </xf>
    <xf numFmtId="181" fontId="11" fillId="0" borderId="2" xfId="25" applyNumberFormat="1" applyFont="1" applyFill="1" applyBorder="1" applyAlignment="1" applyProtection="1">
      <alignment horizontal="center"/>
      <protection locked="0"/>
    </xf>
    <xf numFmtId="181" fontId="11" fillId="3" borderId="2" xfId="25" applyNumberFormat="1" applyFont="1" applyBorder="1" applyProtection="1">
      <alignment horizontal="right"/>
      <protection/>
    </xf>
    <xf numFmtId="181" fontId="11" fillId="3" borderId="23" xfId="25" applyNumberFormat="1" applyFont="1" applyBorder="1" applyProtection="1">
      <alignment horizontal="right"/>
      <protection/>
    </xf>
    <xf numFmtId="181" fontId="11" fillId="0" borderId="2" xfId="0" applyNumberFormat="1" applyFont="1" applyBorder="1" applyAlignment="1" applyProtection="1">
      <alignment horizontal="center"/>
      <protection locked="0"/>
    </xf>
    <xf numFmtId="181" fontId="11" fillId="0" borderId="23" xfId="0" applyNumberFormat="1" applyFont="1" applyBorder="1" applyAlignment="1" applyProtection="1">
      <alignment horizontal="center"/>
      <protection locked="0"/>
    </xf>
    <xf numFmtId="181" fontId="11" fillId="0" borderId="2" xfId="19" applyNumberFormat="1" applyFont="1" applyFill="1" applyBorder="1" applyAlignment="1" applyProtection="1">
      <alignment horizontal="center"/>
      <protection locked="0"/>
    </xf>
    <xf numFmtId="181" fontId="11" fillId="2" borderId="2" xfId="19" applyNumberFormat="1" applyFont="1" applyBorder="1" applyProtection="1">
      <alignment horizontal="right"/>
      <protection locked="0"/>
    </xf>
    <xf numFmtId="181" fontId="11" fillId="3" borderId="2" xfId="19" applyNumberFormat="1" applyFont="1" applyFill="1" applyBorder="1" applyProtection="1">
      <alignment horizontal="right"/>
      <protection/>
    </xf>
    <xf numFmtId="181" fontId="11" fillId="2" borderId="23" xfId="19" applyNumberFormat="1" applyFont="1" applyFill="1" applyBorder="1" applyProtection="1">
      <alignment horizontal="right"/>
      <protection locked="0"/>
    </xf>
    <xf numFmtId="181" fontId="11" fillId="3" borderId="23" xfId="19" applyNumberFormat="1" applyFont="1" applyFill="1" applyBorder="1" applyProtection="1">
      <alignment horizontal="right"/>
      <protection/>
    </xf>
    <xf numFmtId="181" fontId="11" fillId="3" borderId="21" xfId="25" applyNumberFormat="1" applyFont="1" applyBorder="1" applyProtection="1">
      <alignment horizontal="right"/>
      <protection/>
    </xf>
    <xf numFmtId="181" fontId="11" fillId="2" borderId="2" xfId="19" applyNumberFormat="1" applyFont="1" applyFill="1" applyBorder="1" applyAlignment="1" applyProtection="1">
      <alignment horizontal="center"/>
      <protection locked="0"/>
    </xf>
    <xf numFmtId="181" fontId="11" fillId="2" borderId="2" xfId="19" applyNumberFormat="1" applyFont="1" applyFill="1" applyBorder="1" applyProtection="1">
      <alignment horizontal="right"/>
      <protection locked="0"/>
    </xf>
    <xf numFmtId="181" fontId="11" fillId="2" borderId="2" xfId="19" applyNumberFormat="1" applyFont="1" applyFill="1" applyBorder="1" applyProtection="1">
      <alignment horizontal="right"/>
      <protection locked="0"/>
    </xf>
    <xf numFmtId="181" fontId="11" fillId="2" borderId="2" xfId="19" applyNumberFormat="1" applyFont="1" applyFill="1" applyBorder="1" applyAlignment="1" applyProtection="1">
      <alignment horizontal="center"/>
      <protection locked="0"/>
    </xf>
    <xf numFmtId="181" fontId="11" fillId="2" borderId="2" xfId="25" applyNumberFormat="1" applyFont="1" applyFill="1" applyBorder="1" applyProtection="1">
      <alignment horizontal="right"/>
      <protection locked="0"/>
    </xf>
    <xf numFmtId="181" fontId="11" fillId="2" borderId="23" xfId="25" applyNumberFormat="1" applyFont="1" applyFill="1" applyBorder="1" applyProtection="1">
      <alignment horizontal="right"/>
      <protection locked="0"/>
    </xf>
    <xf numFmtId="14" fontId="11" fillId="0" borderId="21" xfId="0" applyNumberFormat="1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 vertical="top" wrapText="1"/>
      <protection locked="0"/>
    </xf>
    <xf numFmtId="181" fontId="11" fillId="2" borderId="2" xfId="19" applyNumberFormat="1" applyFont="1" applyBorder="1" applyProtection="1">
      <alignment horizontal="right"/>
      <protection locked="0"/>
    </xf>
    <xf numFmtId="181" fontId="11" fillId="2" borderId="23" xfId="19" applyNumberFormat="1" applyFont="1" applyBorder="1" applyProtection="1">
      <alignment horizontal="right"/>
      <protection locked="0"/>
    </xf>
    <xf numFmtId="0" fontId="11" fillId="0" borderId="10" xfId="0" applyFont="1" applyBorder="1" applyAlignment="1" applyProtection="1">
      <alignment/>
      <protection locked="0"/>
    </xf>
    <xf numFmtId="0" fontId="11" fillId="0" borderId="24" xfId="0" applyFont="1" applyBorder="1" applyAlignment="1" applyProtection="1">
      <alignment vertical="top" wrapText="1"/>
      <protection locked="0"/>
    </xf>
    <xf numFmtId="181" fontId="11" fillId="3" borderId="10" xfId="25" applyNumberFormat="1" applyFont="1" applyBorder="1" applyProtection="1">
      <alignment horizontal="right"/>
      <protection/>
    </xf>
    <xf numFmtId="181" fontId="11" fillId="2" borderId="12" xfId="19" applyNumberFormat="1" applyFont="1" applyBorder="1" applyProtection="1">
      <alignment horizontal="right"/>
      <protection locked="0"/>
    </xf>
    <xf numFmtId="0" fontId="11" fillId="0" borderId="13" xfId="0" applyFont="1" applyFill="1" applyBorder="1" applyAlignment="1" applyProtection="1">
      <alignment/>
      <protection locked="0"/>
    </xf>
    <xf numFmtId="0" fontId="11" fillId="0" borderId="14" xfId="0" applyFont="1" applyFill="1" applyBorder="1" applyAlignment="1" applyProtection="1">
      <alignment vertical="top" wrapText="1"/>
      <protection locked="0"/>
    </xf>
    <xf numFmtId="181" fontId="11" fillId="0" borderId="13" xfId="25" applyNumberFormat="1" applyFont="1" applyFill="1" applyBorder="1" applyProtection="1">
      <alignment horizontal="right"/>
      <protection/>
    </xf>
    <xf numFmtId="181" fontId="3" fillId="0" borderId="15" xfId="23" applyNumberFormat="1" applyFont="1" applyBorder="1" applyAlignment="1" applyProtection="1">
      <alignment vertical="top"/>
      <protection/>
    </xf>
    <xf numFmtId="181" fontId="3" fillId="0" borderId="16" xfId="23" applyNumberFormat="1" applyFont="1" applyBorder="1" applyAlignment="1" applyProtection="1">
      <alignment vertical="top"/>
      <protection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181" fontId="18" fillId="0" borderId="0" xfId="0" applyNumberFormat="1" applyFont="1" applyBorder="1" applyAlignment="1">
      <alignment/>
    </xf>
    <xf numFmtId="0" fontId="4" fillId="0" borderId="0" xfId="0" applyFont="1" applyAlignment="1">
      <alignment horizontal="justify" wrapText="1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center"/>
    </xf>
    <xf numFmtId="0" fontId="19" fillId="0" borderId="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" fontId="19" fillId="0" borderId="3" xfId="0" applyNumberFormat="1" applyFont="1" applyBorder="1" applyAlignment="1">
      <alignment horizontal="center" vertical="center"/>
    </xf>
    <xf numFmtId="2" fontId="19" fillId="0" borderId="7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183" fontId="19" fillId="0" borderId="3" xfId="0" applyNumberFormat="1" applyFont="1" applyBorder="1" applyAlignment="1">
      <alignment horizontal="center" vertical="center"/>
    </xf>
    <xf numFmtId="183" fontId="19" fillId="0" borderId="7" xfId="0" applyNumberFormat="1" applyFont="1" applyBorder="1" applyAlignment="1">
      <alignment horizontal="center" vertical="center"/>
    </xf>
    <xf numFmtId="183" fontId="19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" fillId="0" borderId="4" xfId="18" applyFont="1" applyBorder="1" applyProtection="1">
      <alignment horizontal="center" vertical="center" wrapText="1"/>
      <protection locked="0"/>
    </xf>
    <xf numFmtId="0" fontId="1" fillId="0" borderId="2" xfId="18" applyFont="1" applyBorder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0" xfId="21" applyNumberFormat="1" applyFont="1" applyFill="1" applyBorder="1" applyAlignment="1" applyProtection="1">
      <alignment horizontal="center" vertical="top" wrapText="1"/>
      <protection/>
    </xf>
    <xf numFmtId="0" fontId="8" fillId="0" borderId="0" xfId="20" applyNumberFormat="1" applyFont="1" applyFill="1" applyBorder="1" applyAlignment="1" applyProtection="1">
      <alignment horizontal="center" vertical="top"/>
      <protection/>
    </xf>
    <xf numFmtId="0" fontId="9" fillId="0" borderId="6" xfId="20" applyNumberFormat="1" applyFont="1" applyFill="1" applyBorder="1" applyAlignment="1" applyProtection="1">
      <alignment horizontal="center" vertical="center" wrapText="1"/>
      <protection/>
    </xf>
    <xf numFmtId="0" fontId="9" fillId="0" borderId="9" xfId="20" applyNumberFormat="1" applyFont="1" applyFill="1" applyBorder="1" applyAlignment="1" applyProtection="1">
      <alignment horizontal="center" vertical="center" wrapText="1"/>
      <protection/>
    </xf>
    <xf numFmtId="0" fontId="1" fillId="0" borderId="4" xfId="20" applyNumberFormat="1" applyFont="1" applyFill="1" applyBorder="1" applyAlignment="1" applyProtection="1">
      <alignment horizontal="center" vertical="center" wrapText="1"/>
      <protection/>
    </xf>
    <xf numFmtId="0" fontId="1" fillId="0" borderId="2" xfId="20" applyNumberFormat="1" applyFont="1" applyFill="1" applyBorder="1" applyAlignment="1" applyProtection="1">
      <alignment horizontal="center" vertical="center" wrapText="1"/>
      <protection/>
    </xf>
    <xf numFmtId="0" fontId="16" fillId="0" borderId="0" xfId="17" applyFont="1" applyAlignment="1" applyProtection="1">
      <alignment horizontal="center" vertical="center" wrapText="1"/>
      <protection locked="0"/>
    </xf>
    <xf numFmtId="0" fontId="1" fillId="0" borderId="17" xfId="18" applyFont="1" applyBorder="1" applyProtection="1">
      <alignment horizontal="center" vertical="center" wrapText="1"/>
      <protection locked="0"/>
    </xf>
    <xf numFmtId="0" fontId="1" fillId="0" borderId="10" xfId="18" applyFont="1" applyBorder="1" applyProtection="1">
      <alignment horizontal="center" vertical="center" wrapText="1"/>
      <protection locked="0"/>
    </xf>
    <xf numFmtId="0" fontId="1" fillId="0" borderId="18" xfId="18" applyFont="1" applyBorder="1" applyAlignment="1" applyProtection="1">
      <alignment horizontal="center" vertical="center" wrapText="1"/>
      <protection locked="0"/>
    </xf>
    <xf numFmtId="0" fontId="1" fillId="0" borderId="29" xfId="18" applyFont="1" applyBorder="1" applyAlignment="1" applyProtection="1">
      <alignment horizontal="center" vertical="center" wrapText="1"/>
      <protection locked="0"/>
    </xf>
    <xf numFmtId="0" fontId="1" fillId="0" borderId="19" xfId="18" applyFont="1" applyBorder="1" applyProtection="1">
      <alignment horizontal="center" vertical="center" wrapText="1"/>
      <protection locked="0"/>
    </xf>
    <xf numFmtId="0" fontId="1" fillId="0" borderId="20" xfId="18" applyFont="1" applyBorder="1" applyProtection="1">
      <alignment horizontal="center" vertical="center" wrapText="1"/>
      <protection locked="0"/>
    </xf>
    <xf numFmtId="0" fontId="1" fillId="5" borderId="30" xfId="18" applyFont="1" applyFill="1" applyBorder="1" applyAlignment="1" applyProtection="1">
      <alignment horizontal="center" vertical="center" wrapText="1"/>
      <protection locked="0"/>
    </xf>
    <xf numFmtId="0" fontId="1" fillId="5" borderId="31" xfId="18" applyFont="1" applyFill="1" applyBorder="1" applyAlignment="1" applyProtection="1">
      <alignment horizontal="center" vertical="center" wrapText="1"/>
      <protection locked="0"/>
    </xf>
    <xf numFmtId="0" fontId="1" fillId="5" borderId="32" xfId="18" applyFont="1" applyFill="1" applyBorder="1" applyAlignment="1" applyProtection="1">
      <alignment horizontal="center" vertical="center" wrapText="1"/>
      <protection locked="0"/>
    </xf>
    <xf numFmtId="180" fontId="18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</cellXfs>
  <cellStyles count="12">
    <cellStyle name="Normal" xfId="0"/>
    <cellStyle name="Currency" xfId="15"/>
    <cellStyle name="Currency [0]" xfId="16"/>
    <cellStyle name="Заголовок" xfId="17"/>
    <cellStyle name="ЗаголовокСтолбца" xfId="18"/>
    <cellStyle name="Значение" xfId="19"/>
    <cellStyle name="Обычный_methodics230802-pril1-3" xfId="20"/>
    <cellStyle name="Обычный_Книга1" xfId="21"/>
    <cellStyle name="Percent" xfId="22"/>
    <cellStyle name="Comma" xfId="23"/>
    <cellStyle name="Comma [0]" xfId="24"/>
    <cellStyle name="Формула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azarinovaRY\&#1056;&#1072;&#1073;&#1086;&#1095;&#1080;&#1081;%20&#1089;&#1090;&#1086;&#1083;\&#1057;&#1090;&#1072;&#1085;&#1076;&#1072;&#1088;&#1090;&#1099;%20&#1088;&#1072;&#1089;&#1088;&#1099;&#1090;&#1080;&#1103;%20&#1069;&#1083;.&#1101;&#1085;.%20&#1074;&#1086;&#1076;&#1072;,&#1089;&#1090;&#1086;&#1082;&#1080;2011&#1075;\&#1069;&#1083;.&#1101;&#1085;&#1077;&#1088;&#1075;&#1080;&#1103;,&#1058;&#1072;&#1088;&#1080;&#1092;&#1099;%20&#1080;%20&#1041;&#1072;&#1083;&#1072;&#1085;&#1089;&#1099;%20&#1054;&#1048;&#1071;&#1048;%202010-2011&#1075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%20&#1075;&#1086;&#1076;\&#1054;&#1090;&#1095;&#1077;&#1090;2012&#1075;&#1086;&#1076;\&#1054;&#1090;&#1095;&#1077;&#1090;\ZEXELV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%20&#1075;&#1086;&#1076;\&#1054;&#1090;&#1095;&#1077;&#1090;2012&#1075;&#1086;&#1076;\&#1054;&#1090;&#1095;&#1077;&#1090;\KALEL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2010"/>
      <sheetName val="Тарифы2011"/>
      <sheetName val="Утвержд.КЦТ12-14"/>
      <sheetName val="Факт 2011"/>
      <sheetName val="Факт 2012"/>
      <sheetName val="Балансы10-12г."/>
    </sheetNames>
    <sheetDataSet>
      <sheetData sheetId="2">
        <row r="14">
          <cell r="D14">
            <v>500</v>
          </cell>
        </row>
        <row r="25">
          <cell r="D25">
            <v>525</v>
          </cell>
        </row>
        <row r="26">
          <cell r="D26">
            <v>525</v>
          </cell>
        </row>
        <row r="32">
          <cell r="D32">
            <v>131.25</v>
          </cell>
        </row>
        <row r="44">
          <cell r="B44">
            <v>14924.779999999999</v>
          </cell>
          <cell r="C44">
            <v>10590.9</v>
          </cell>
          <cell r="D44">
            <v>14586.96</v>
          </cell>
          <cell r="E44">
            <v>10351.14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квартал"/>
      <sheetName val="2 квартал"/>
      <sheetName val="3 квартал"/>
      <sheetName val="4 квартал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</sheetNames>
    <sheetDataSet>
      <sheetData sheetId="3">
        <row r="9">
          <cell r="H9">
            <v>2667.2214299999996</v>
          </cell>
        </row>
        <row r="12">
          <cell r="H12">
            <v>409.92012</v>
          </cell>
        </row>
        <row r="13">
          <cell r="H13">
            <v>10.0678</v>
          </cell>
        </row>
        <row r="18">
          <cell r="H18">
            <v>38.412</v>
          </cell>
        </row>
        <row r="25">
          <cell r="H25">
            <v>9.292</v>
          </cell>
        </row>
        <row r="27">
          <cell r="H27">
            <v>959.0621600000001</v>
          </cell>
        </row>
        <row r="29">
          <cell r="H29">
            <v>126.40044000000002</v>
          </cell>
        </row>
        <row r="33">
          <cell r="H33">
            <v>0.2425</v>
          </cell>
        </row>
        <row r="35">
          <cell r="H35">
            <v>38.7</v>
          </cell>
        </row>
        <row r="37">
          <cell r="H37">
            <v>721</v>
          </cell>
        </row>
        <row r="39">
          <cell r="H39">
            <v>220</v>
          </cell>
        </row>
        <row r="40">
          <cell r="H40">
            <v>19.69602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 квартал"/>
      <sheetName val="2 квартал"/>
      <sheetName val="3 квартал"/>
      <sheetName val="4 квартал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</sheetNames>
    <sheetDataSet>
      <sheetData sheetId="3">
        <row r="18">
          <cell r="H18">
            <v>3733.23236</v>
          </cell>
        </row>
        <row r="19">
          <cell r="H19">
            <v>1125.2913200000003</v>
          </cell>
        </row>
        <row r="22">
          <cell r="H22">
            <v>276.62018</v>
          </cell>
        </row>
        <row r="24">
          <cell r="H24">
            <v>213.88407999999998</v>
          </cell>
        </row>
        <row r="25">
          <cell r="H25">
            <v>10.061</v>
          </cell>
        </row>
        <row r="26">
          <cell r="H26">
            <v>8777.19604</v>
          </cell>
        </row>
        <row r="33">
          <cell r="H33">
            <v>450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45"/>
  <sheetViews>
    <sheetView tabSelected="1" workbookViewId="0" topLeftCell="AA1">
      <selection activeCell="J22" sqref="J22:AV22"/>
    </sheetView>
  </sheetViews>
  <sheetFormatPr defaultColWidth="9.140625" defaultRowHeight="12.75"/>
  <cols>
    <col min="1" max="16384" width="0.9921875" style="0" customWidth="1"/>
  </cols>
  <sheetData>
    <row r="1" ht="12.75">
      <c r="CE1" t="s">
        <v>0</v>
      </c>
    </row>
    <row r="2" ht="12.75">
      <c r="CE2" t="s">
        <v>1</v>
      </c>
    </row>
    <row r="3" ht="12.75">
      <c r="CE3" t="s">
        <v>2</v>
      </c>
    </row>
    <row r="4" ht="12.75">
      <c r="CE4" t="s">
        <v>3</v>
      </c>
    </row>
    <row r="6" spans="1:105" ht="15.75">
      <c r="A6" s="126" t="s">
        <v>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</row>
    <row r="7" spans="1:107" ht="15.75">
      <c r="A7" s="126" t="s">
        <v>5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</row>
    <row r="8" spans="1:107" ht="15.75">
      <c r="A8" s="126" t="s">
        <v>6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</row>
    <row r="9" spans="1:107" ht="15.75">
      <c r="A9" s="126" t="s">
        <v>7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</row>
    <row r="10" spans="1:107" ht="15.75">
      <c r="A10" s="126" t="s">
        <v>8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"/>
      <c r="DC10" s="1"/>
    </row>
    <row r="12" spans="1:107" ht="15">
      <c r="A12" s="127" t="s">
        <v>9</v>
      </c>
      <c r="B12" s="128"/>
      <c r="C12" s="128"/>
      <c r="D12" s="128"/>
      <c r="E12" s="128"/>
      <c r="F12" s="128"/>
      <c r="G12" s="128"/>
      <c r="H12" s="129"/>
      <c r="I12" s="133" t="s">
        <v>10</v>
      </c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9"/>
      <c r="AW12" s="127" t="s">
        <v>11</v>
      </c>
      <c r="AX12" s="128"/>
      <c r="AY12" s="128"/>
      <c r="AZ12" s="128"/>
      <c r="BA12" s="128"/>
      <c r="BB12" s="128"/>
      <c r="BC12" s="128"/>
      <c r="BD12" s="128"/>
      <c r="BE12" s="128"/>
      <c r="BF12" s="128"/>
      <c r="BG12" s="129"/>
      <c r="BH12" s="114" t="s">
        <v>12</v>
      </c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6"/>
      <c r="CJ12" s="133" t="s">
        <v>13</v>
      </c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9"/>
      <c r="DB12" s="3"/>
      <c r="DC12" s="3"/>
    </row>
    <row r="13" spans="1:107" ht="15">
      <c r="A13" s="130"/>
      <c r="B13" s="131"/>
      <c r="C13" s="131"/>
      <c r="D13" s="131"/>
      <c r="E13" s="131"/>
      <c r="F13" s="131"/>
      <c r="G13" s="131"/>
      <c r="H13" s="132"/>
      <c r="I13" s="130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2"/>
      <c r="AW13" s="130"/>
      <c r="AX13" s="131"/>
      <c r="AY13" s="131"/>
      <c r="AZ13" s="131"/>
      <c r="BA13" s="131"/>
      <c r="BB13" s="131"/>
      <c r="BC13" s="131"/>
      <c r="BD13" s="131"/>
      <c r="BE13" s="131"/>
      <c r="BF13" s="131"/>
      <c r="BG13" s="132"/>
      <c r="BH13" s="114" t="s">
        <v>14</v>
      </c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6"/>
      <c r="BV13" s="114" t="s">
        <v>15</v>
      </c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6"/>
      <c r="CJ13" s="130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2"/>
      <c r="DB13" s="3"/>
      <c r="DC13" s="3"/>
    </row>
    <row r="14" spans="1:105" ht="15">
      <c r="A14" s="109" t="s">
        <v>16</v>
      </c>
      <c r="B14" s="110"/>
      <c r="C14" s="110"/>
      <c r="D14" s="110"/>
      <c r="E14" s="110"/>
      <c r="F14" s="110"/>
      <c r="G14" s="110"/>
      <c r="H14" s="111"/>
      <c r="I14" s="2"/>
      <c r="J14" s="112" t="s">
        <v>17</v>
      </c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3"/>
      <c r="AW14" s="114" t="s">
        <v>18</v>
      </c>
      <c r="AX14" s="115"/>
      <c r="AY14" s="115"/>
      <c r="AZ14" s="115"/>
      <c r="BA14" s="115"/>
      <c r="BB14" s="115"/>
      <c r="BC14" s="115"/>
      <c r="BD14" s="115"/>
      <c r="BE14" s="115"/>
      <c r="BF14" s="115"/>
      <c r="BG14" s="116"/>
      <c r="BH14" s="114">
        <f>('[1]Утвержд.КЦТ12-14'!C44+'[1]Утвержд.КЦТ12-14'!E44)/2</f>
        <v>10471.02</v>
      </c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6"/>
      <c r="BV14" s="103">
        <v>10471.02</v>
      </c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5"/>
      <c r="CJ14" s="106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8"/>
    </row>
    <row r="15" spans="1:105" ht="15">
      <c r="A15" s="109" t="s">
        <v>19</v>
      </c>
      <c r="B15" s="110"/>
      <c r="C15" s="110"/>
      <c r="D15" s="110"/>
      <c r="E15" s="110"/>
      <c r="F15" s="110"/>
      <c r="G15" s="110"/>
      <c r="H15" s="111"/>
      <c r="I15" s="2"/>
      <c r="J15" s="112" t="s">
        <v>20</v>
      </c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3"/>
      <c r="AW15" s="114" t="s">
        <v>18</v>
      </c>
      <c r="AX15" s="115"/>
      <c r="AY15" s="115"/>
      <c r="AZ15" s="115"/>
      <c r="BA15" s="115"/>
      <c r="BB15" s="115"/>
      <c r="BC15" s="115"/>
      <c r="BD15" s="115"/>
      <c r="BE15" s="115"/>
      <c r="BF15" s="115"/>
      <c r="BG15" s="116"/>
      <c r="BH15" s="114">
        <f>('[1]Утвержд.КЦТ12-14'!B44+'[1]Утвержд.КЦТ12-14'!D44)/2-BH14</f>
        <v>4284.8499999999985</v>
      </c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6"/>
      <c r="BV15" s="120">
        <f>BV16-BV14</f>
        <v>8905.23053</v>
      </c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2"/>
      <c r="CJ15" s="106">
        <v>6972.734</v>
      </c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8"/>
    </row>
    <row r="16" spans="1:105" ht="15">
      <c r="A16" s="109" t="s">
        <v>21</v>
      </c>
      <c r="B16" s="110"/>
      <c r="C16" s="110"/>
      <c r="D16" s="110"/>
      <c r="E16" s="110"/>
      <c r="F16" s="110"/>
      <c r="G16" s="110"/>
      <c r="H16" s="111"/>
      <c r="I16" s="2"/>
      <c r="J16" s="112" t="s">
        <v>22</v>
      </c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3"/>
      <c r="AW16" s="114" t="s">
        <v>18</v>
      </c>
      <c r="AX16" s="115"/>
      <c r="AY16" s="115"/>
      <c r="AZ16" s="115"/>
      <c r="BA16" s="115"/>
      <c r="BB16" s="115"/>
      <c r="BC16" s="115"/>
      <c r="BD16" s="115"/>
      <c r="BE16" s="115"/>
      <c r="BF16" s="115"/>
      <c r="BG16" s="116"/>
      <c r="BH16" s="114">
        <f>BH17+BH19+BH21+BH22+BH26</f>
        <v>14755.87</v>
      </c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6"/>
      <c r="BV16" s="120">
        <f>BV17+BV19+BV21+BV22+BV26</f>
        <v>19376.25053</v>
      </c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2"/>
      <c r="CJ16" s="106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8"/>
    </row>
    <row r="17" spans="1:105" ht="15">
      <c r="A17" s="109" t="s">
        <v>23</v>
      </c>
      <c r="B17" s="110"/>
      <c r="C17" s="110"/>
      <c r="D17" s="110"/>
      <c r="E17" s="110"/>
      <c r="F17" s="110"/>
      <c r="G17" s="110"/>
      <c r="H17" s="111"/>
      <c r="I17" s="2"/>
      <c r="J17" s="112" t="s">
        <v>24</v>
      </c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3"/>
      <c r="AW17" s="114" t="s">
        <v>18</v>
      </c>
      <c r="AX17" s="115"/>
      <c r="AY17" s="115"/>
      <c r="AZ17" s="115"/>
      <c r="BA17" s="115"/>
      <c r="BB17" s="115"/>
      <c r="BC17" s="115"/>
      <c r="BD17" s="115"/>
      <c r="BE17" s="115"/>
      <c r="BF17" s="115"/>
      <c r="BG17" s="116"/>
      <c r="BH17" s="114">
        <f>BH18</f>
        <v>500</v>
      </c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6"/>
      <c r="BV17" s="103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5"/>
      <c r="CJ17" s="106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8"/>
    </row>
    <row r="18" spans="1:105" ht="15">
      <c r="A18" s="109" t="s">
        <v>25</v>
      </c>
      <c r="B18" s="110"/>
      <c r="C18" s="110"/>
      <c r="D18" s="110"/>
      <c r="E18" s="110"/>
      <c r="F18" s="110"/>
      <c r="G18" s="110"/>
      <c r="H18" s="111"/>
      <c r="I18" s="2"/>
      <c r="J18" s="112" t="s">
        <v>26</v>
      </c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3"/>
      <c r="AW18" s="114" t="s">
        <v>18</v>
      </c>
      <c r="AX18" s="115"/>
      <c r="AY18" s="115"/>
      <c r="AZ18" s="115"/>
      <c r="BA18" s="115"/>
      <c r="BB18" s="115"/>
      <c r="BC18" s="115"/>
      <c r="BD18" s="115"/>
      <c r="BE18" s="115"/>
      <c r="BF18" s="115"/>
      <c r="BG18" s="116"/>
      <c r="BH18" s="114">
        <f>'[1]Утвержд.КЦТ12-14'!D14</f>
        <v>500</v>
      </c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6"/>
      <c r="BV18" s="120">
        <f>41.2+'[2]4 квартал'!$H$12+'[2]4 квартал'!$H$13+'[3]4 квартал'!$H$25</f>
        <v>471.24891999999994</v>
      </c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2"/>
      <c r="CJ18" s="106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8"/>
    </row>
    <row r="19" spans="1:105" ht="15">
      <c r="A19" s="109" t="s">
        <v>27</v>
      </c>
      <c r="B19" s="110"/>
      <c r="C19" s="110"/>
      <c r="D19" s="110"/>
      <c r="E19" s="110"/>
      <c r="F19" s="110"/>
      <c r="G19" s="110"/>
      <c r="H19" s="111"/>
      <c r="I19" s="2"/>
      <c r="J19" s="112" t="s">
        <v>28</v>
      </c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3"/>
      <c r="AW19" s="114" t="s">
        <v>18</v>
      </c>
      <c r="AX19" s="115"/>
      <c r="AY19" s="115"/>
      <c r="AZ19" s="115"/>
      <c r="BA19" s="115"/>
      <c r="BB19" s="115"/>
      <c r="BC19" s="115"/>
      <c r="BD19" s="115"/>
      <c r="BE19" s="115"/>
      <c r="BF19" s="115"/>
      <c r="BG19" s="116"/>
      <c r="BH19" s="114">
        <f>8445.5+(2888.36+2550.54)/2</f>
        <v>11164.95</v>
      </c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6"/>
      <c r="BV19" s="120">
        <f>'[2]4 квартал'!$H$9+'[2]4 квартал'!$H$37+'[2]4 квартал'!$H$27+'[2]4 квартал'!$H$29+'[3]4 квартал'!$H$18+'[3]4 квартал'!$H$19</f>
        <v>9332.20771</v>
      </c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2"/>
      <c r="CJ19" s="106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8"/>
    </row>
    <row r="20" spans="1:105" ht="15">
      <c r="A20" s="109" t="s">
        <v>29</v>
      </c>
      <c r="B20" s="110"/>
      <c r="C20" s="110"/>
      <c r="D20" s="110"/>
      <c r="E20" s="110"/>
      <c r="F20" s="110"/>
      <c r="G20" s="110"/>
      <c r="H20" s="111"/>
      <c r="I20" s="2"/>
      <c r="J20" s="112" t="s">
        <v>26</v>
      </c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3"/>
      <c r="AW20" s="114" t="s">
        <v>18</v>
      </c>
      <c r="AX20" s="115"/>
      <c r="AY20" s="115"/>
      <c r="AZ20" s="115"/>
      <c r="BA20" s="115"/>
      <c r="BB20" s="115"/>
      <c r="BC20" s="115"/>
      <c r="BD20" s="115"/>
      <c r="BE20" s="115"/>
      <c r="BF20" s="115"/>
      <c r="BG20" s="116"/>
      <c r="BH20" s="114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6"/>
      <c r="BV20" s="103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5"/>
      <c r="CJ20" s="106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8"/>
    </row>
    <row r="21" spans="1:105" ht="15">
      <c r="A21" s="109" t="s">
        <v>30</v>
      </c>
      <c r="B21" s="110"/>
      <c r="C21" s="110"/>
      <c r="D21" s="110"/>
      <c r="E21" s="110"/>
      <c r="F21" s="110"/>
      <c r="G21" s="110"/>
      <c r="H21" s="111"/>
      <c r="I21" s="2"/>
      <c r="J21" s="112" t="s">
        <v>31</v>
      </c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3"/>
      <c r="AW21" s="114" t="s">
        <v>18</v>
      </c>
      <c r="AX21" s="115"/>
      <c r="AY21" s="115"/>
      <c r="AZ21" s="115"/>
      <c r="BA21" s="115"/>
      <c r="BB21" s="115"/>
      <c r="BC21" s="115"/>
      <c r="BD21" s="115"/>
      <c r="BE21" s="115"/>
      <c r="BF21" s="115"/>
      <c r="BG21" s="116"/>
      <c r="BH21" s="114">
        <f>764.4</f>
        <v>764.4</v>
      </c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6"/>
      <c r="BV21" s="120">
        <f>'[3]4 квартал'!$H$22</f>
        <v>276.62018</v>
      </c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2"/>
      <c r="CJ21" s="106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8"/>
    </row>
    <row r="22" spans="1:105" ht="15">
      <c r="A22" s="109" t="s">
        <v>32</v>
      </c>
      <c r="B22" s="110"/>
      <c r="C22" s="110"/>
      <c r="D22" s="110"/>
      <c r="E22" s="110"/>
      <c r="F22" s="110"/>
      <c r="G22" s="110"/>
      <c r="H22" s="111"/>
      <c r="I22" s="2"/>
      <c r="J22" s="112" t="s">
        <v>33</v>
      </c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3"/>
      <c r="AW22" s="114" t="s">
        <v>18</v>
      </c>
      <c r="AX22" s="115"/>
      <c r="AY22" s="115"/>
      <c r="AZ22" s="115"/>
      <c r="BA22" s="115"/>
      <c r="BB22" s="115"/>
      <c r="BC22" s="115"/>
      <c r="BD22" s="115"/>
      <c r="BE22" s="115"/>
      <c r="BF22" s="115"/>
      <c r="BG22" s="116"/>
      <c r="BH22" s="114">
        <f>1178.65+491.62</f>
        <v>1670.27</v>
      </c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6"/>
      <c r="BV22" s="123">
        <f>'[3]4 квартал'!$H$24+'[3]4 квартал'!$H$26+'[2]4 квартал'!$H$18+'[2]4 квартал'!$H$25+'[2]4 квартал'!$H$33+'[2]4 квартал'!$H$35+'[2]4 квартал'!$H$39+'[2]4 квартал'!$H$40+'[3]4 квартал'!$H$33</f>
        <v>9767.42264</v>
      </c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5"/>
      <c r="CJ22" s="106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8"/>
    </row>
    <row r="23" spans="1:105" ht="15">
      <c r="A23" s="109" t="s">
        <v>34</v>
      </c>
      <c r="B23" s="110"/>
      <c r="C23" s="110"/>
      <c r="D23" s="110"/>
      <c r="E23" s="110"/>
      <c r="F23" s="110"/>
      <c r="G23" s="110"/>
      <c r="H23" s="111"/>
      <c r="I23" s="2"/>
      <c r="J23" s="112" t="s">
        <v>35</v>
      </c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3"/>
      <c r="AW23" s="114" t="s">
        <v>18</v>
      </c>
      <c r="AX23" s="115"/>
      <c r="AY23" s="115"/>
      <c r="AZ23" s="115"/>
      <c r="BA23" s="115"/>
      <c r="BB23" s="115"/>
      <c r="BC23" s="115"/>
      <c r="BD23" s="115"/>
      <c r="BE23" s="115"/>
      <c r="BF23" s="115"/>
      <c r="BG23" s="116"/>
      <c r="BH23" s="114">
        <v>0</v>
      </c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6"/>
      <c r="BV23" s="103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5"/>
      <c r="CJ23" s="106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8"/>
    </row>
    <row r="24" spans="1:105" ht="15">
      <c r="A24" s="109" t="s">
        <v>36</v>
      </c>
      <c r="B24" s="110"/>
      <c r="C24" s="110"/>
      <c r="D24" s="110"/>
      <c r="E24" s="110"/>
      <c r="F24" s="110"/>
      <c r="G24" s="110"/>
      <c r="H24" s="111"/>
      <c r="I24" s="2"/>
      <c r="J24" s="112" t="s">
        <v>37</v>
      </c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3"/>
      <c r="AW24" s="114" t="s">
        <v>18</v>
      </c>
      <c r="AX24" s="115"/>
      <c r="AY24" s="115"/>
      <c r="AZ24" s="115"/>
      <c r="BA24" s="115"/>
      <c r="BB24" s="115"/>
      <c r="BC24" s="115"/>
      <c r="BD24" s="115"/>
      <c r="BE24" s="115"/>
      <c r="BF24" s="115"/>
      <c r="BG24" s="116"/>
      <c r="BH24" s="114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6"/>
      <c r="BV24" s="103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5"/>
      <c r="CJ24" s="106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8"/>
    </row>
    <row r="25" spans="1:105" ht="15">
      <c r="A25" s="109" t="s">
        <v>38</v>
      </c>
      <c r="B25" s="110"/>
      <c r="C25" s="110"/>
      <c r="D25" s="110"/>
      <c r="E25" s="110"/>
      <c r="F25" s="110"/>
      <c r="G25" s="110"/>
      <c r="H25" s="111"/>
      <c r="I25" s="2"/>
      <c r="J25" s="112" t="s">
        <v>39</v>
      </c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3"/>
      <c r="AW25" s="114" t="s">
        <v>18</v>
      </c>
      <c r="AX25" s="115"/>
      <c r="AY25" s="115"/>
      <c r="AZ25" s="115"/>
      <c r="BA25" s="115"/>
      <c r="BB25" s="115"/>
      <c r="BC25" s="115"/>
      <c r="BD25" s="115"/>
      <c r="BE25" s="115"/>
      <c r="BF25" s="115"/>
      <c r="BG25" s="116"/>
      <c r="BH25" s="114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6"/>
      <c r="BV25" s="103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5"/>
      <c r="CJ25" s="106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8"/>
    </row>
    <row r="26" spans="1:105" ht="15">
      <c r="A26" s="109" t="s">
        <v>40</v>
      </c>
      <c r="B26" s="110"/>
      <c r="C26" s="110"/>
      <c r="D26" s="110"/>
      <c r="E26" s="110"/>
      <c r="F26" s="110"/>
      <c r="G26" s="110"/>
      <c r="H26" s="111"/>
      <c r="I26" s="2"/>
      <c r="J26" s="112" t="s">
        <v>41</v>
      </c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3"/>
      <c r="AW26" s="114" t="s">
        <v>18</v>
      </c>
      <c r="AX26" s="115"/>
      <c r="AY26" s="115"/>
      <c r="AZ26" s="115"/>
      <c r="BA26" s="115"/>
      <c r="BB26" s="115"/>
      <c r="BC26" s="115"/>
      <c r="BD26" s="115"/>
      <c r="BE26" s="115"/>
      <c r="BF26" s="115"/>
      <c r="BG26" s="116"/>
      <c r="BH26" s="114">
        <f>'[1]Утвержд.КЦТ12-14'!D25+'[1]Утвержд.КЦТ12-14'!D32</f>
        <v>656.25</v>
      </c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6"/>
      <c r="BV26" s="103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5"/>
      <c r="CJ26" s="106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8"/>
    </row>
    <row r="27" spans="1:105" ht="15">
      <c r="A27" s="109" t="s">
        <v>42</v>
      </c>
      <c r="B27" s="110"/>
      <c r="C27" s="110"/>
      <c r="D27" s="110"/>
      <c r="E27" s="110"/>
      <c r="F27" s="110"/>
      <c r="G27" s="110"/>
      <c r="H27" s="111"/>
      <c r="I27" s="2"/>
      <c r="J27" s="112" t="s">
        <v>43</v>
      </c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3"/>
      <c r="AW27" s="114" t="s">
        <v>18</v>
      </c>
      <c r="AX27" s="115"/>
      <c r="AY27" s="115"/>
      <c r="AZ27" s="115"/>
      <c r="BA27" s="115"/>
      <c r="BB27" s="115"/>
      <c r="BC27" s="115"/>
      <c r="BD27" s="115"/>
      <c r="BE27" s="115"/>
      <c r="BF27" s="115"/>
      <c r="BG27" s="116"/>
      <c r="BH27" s="114">
        <f>'[1]Утвержд.КЦТ12-14'!D32</f>
        <v>131.25</v>
      </c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6"/>
      <c r="BV27" s="103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5"/>
      <c r="CJ27" s="106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8"/>
    </row>
    <row r="28" spans="1:105" ht="15">
      <c r="A28" s="109" t="s">
        <v>44</v>
      </c>
      <c r="B28" s="110"/>
      <c r="C28" s="110"/>
      <c r="D28" s="110"/>
      <c r="E28" s="110"/>
      <c r="F28" s="110"/>
      <c r="G28" s="110"/>
      <c r="H28" s="111"/>
      <c r="I28" s="2"/>
      <c r="J28" s="112" t="s">
        <v>45</v>
      </c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3"/>
      <c r="AW28" s="114" t="s">
        <v>18</v>
      </c>
      <c r="AX28" s="115"/>
      <c r="AY28" s="115"/>
      <c r="AZ28" s="115"/>
      <c r="BA28" s="115"/>
      <c r="BB28" s="115"/>
      <c r="BC28" s="115"/>
      <c r="BD28" s="115"/>
      <c r="BE28" s="115"/>
      <c r="BF28" s="115"/>
      <c r="BG28" s="116"/>
      <c r="BH28" s="114">
        <f>BH26-BH27</f>
        <v>525</v>
      </c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6"/>
      <c r="BV28" s="103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5"/>
      <c r="CJ28" s="106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8"/>
    </row>
    <row r="29" spans="1:105" ht="15">
      <c r="A29" s="109" t="s">
        <v>46</v>
      </c>
      <c r="B29" s="110"/>
      <c r="C29" s="110"/>
      <c r="D29" s="110"/>
      <c r="E29" s="110"/>
      <c r="F29" s="110"/>
      <c r="G29" s="110"/>
      <c r="H29" s="111"/>
      <c r="I29" s="2"/>
      <c r="J29" s="112" t="s">
        <v>47</v>
      </c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3"/>
      <c r="AW29" s="114" t="s">
        <v>18</v>
      </c>
      <c r="AX29" s="115"/>
      <c r="AY29" s="115"/>
      <c r="AZ29" s="115"/>
      <c r="BA29" s="115"/>
      <c r="BB29" s="115"/>
      <c r="BC29" s="115"/>
      <c r="BD29" s="115"/>
      <c r="BE29" s="115"/>
      <c r="BF29" s="115"/>
      <c r="BG29" s="116"/>
      <c r="BH29" s="114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6"/>
      <c r="BV29" s="103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5"/>
      <c r="CJ29" s="106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8"/>
    </row>
    <row r="30" spans="1:105" ht="15">
      <c r="A30" s="109" t="s">
        <v>48</v>
      </c>
      <c r="B30" s="110"/>
      <c r="C30" s="110"/>
      <c r="D30" s="110"/>
      <c r="E30" s="110"/>
      <c r="F30" s="110"/>
      <c r="G30" s="110"/>
      <c r="H30" s="111"/>
      <c r="I30" s="2"/>
      <c r="J30" s="112" t="s">
        <v>49</v>
      </c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3"/>
      <c r="AW30" s="114" t="s">
        <v>18</v>
      </c>
      <c r="AX30" s="115"/>
      <c r="AY30" s="115"/>
      <c r="AZ30" s="115"/>
      <c r="BA30" s="115"/>
      <c r="BB30" s="115"/>
      <c r="BC30" s="115"/>
      <c r="BD30" s="115"/>
      <c r="BE30" s="115"/>
      <c r="BF30" s="115"/>
      <c r="BG30" s="116"/>
      <c r="BH30" s="114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6"/>
      <c r="BV30" s="103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5"/>
      <c r="CJ30" s="106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8"/>
    </row>
    <row r="31" spans="1:105" ht="15">
      <c r="A31" s="109" t="s">
        <v>50</v>
      </c>
      <c r="B31" s="110"/>
      <c r="C31" s="110"/>
      <c r="D31" s="110"/>
      <c r="E31" s="110"/>
      <c r="F31" s="110"/>
      <c r="G31" s="110"/>
      <c r="H31" s="111"/>
      <c r="I31" s="2"/>
      <c r="J31" s="112" t="s">
        <v>51</v>
      </c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3"/>
      <c r="AW31" s="114" t="s">
        <v>18</v>
      </c>
      <c r="AX31" s="115"/>
      <c r="AY31" s="115"/>
      <c r="AZ31" s="115"/>
      <c r="BA31" s="115"/>
      <c r="BB31" s="115"/>
      <c r="BC31" s="115"/>
      <c r="BD31" s="115"/>
      <c r="BE31" s="115"/>
      <c r="BF31" s="115"/>
      <c r="BG31" s="116"/>
      <c r="BH31" s="114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6"/>
      <c r="BV31" s="103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5"/>
      <c r="CJ31" s="106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8"/>
    </row>
    <row r="32" spans="1:105" ht="15">
      <c r="A32" s="109" t="s">
        <v>52</v>
      </c>
      <c r="B32" s="110"/>
      <c r="C32" s="110"/>
      <c r="D32" s="110"/>
      <c r="E32" s="110"/>
      <c r="F32" s="110"/>
      <c r="G32" s="110"/>
      <c r="H32" s="111"/>
      <c r="I32" s="2"/>
      <c r="J32" s="112" t="s">
        <v>53</v>
      </c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3"/>
      <c r="AW32" s="114" t="s">
        <v>18</v>
      </c>
      <c r="AX32" s="115"/>
      <c r="AY32" s="115"/>
      <c r="AZ32" s="115"/>
      <c r="BA32" s="115"/>
      <c r="BB32" s="115"/>
      <c r="BC32" s="115"/>
      <c r="BD32" s="115"/>
      <c r="BE32" s="115"/>
      <c r="BF32" s="115"/>
      <c r="BG32" s="116"/>
      <c r="BH32" s="114">
        <f>'[1]Утвержд.КЦТ12-14'!D26</f>
        <v>525</v>
      </c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6"/>
      <c r="BV32" s="103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5"/>
      <c r="CJ32" s="106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8"/>
    </row>
    <row r="33" spans="1:105" ht="15">
      <c r="A33" s="109" t="s">
        <v>54</v>
      </c>
      <c r="B33" s="110"/>
      <c r="C33" s="110"/>
      <c r="D33" s="110"/>
      <c r="E33" s="110"/>
      <c r="F33" s="110"/>
      <c r="G33" s="110"/>
      <c r="H33" s="111"/>
      <c r="I33" s="2"/>
      <c r="J33" s="112" t="s">
        <v>55</v>
      </c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3"/>
      <c r="AW33" s="114" t="s">
        <v>18</v>
      </c>
      <c r="AX33" s="115"/>
      <c r="AY33" s="115"/>
      <c r="AZ33" s="115"/>
      <c r="BA33" s="115"/>
      <c r="BB33" s="115"/>
      <c r="BC33" s="115"/>
      <c r="BD33" s="115"/>
      <c r="BE33" s="115"/>
      <c r="BF33" s="115"/>
      <c r="BG33" s="116"/>
      <c r="BH33" s="114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6"/>
      <c r="BV33" s="103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5"/>
      <c r="CJ33" s="106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8"/>
    </row>
    <row r="34" spans="1:105" ht="15">
      <c r="A34" s="109" t="s">
        <v>56</v>
      </c>
      <c r="B34" s="110"/>
      <c r="C34" s="110"/>
      <c r="D34" s="110"/>
      <c r="E34" s="110"/>
      <c r="F34" s="110"/>
      <c r="G34" s="110"/>
      <c r="H34" s="111"/>
      <c r="I34" s="2"/>
      <c r="J34" s="112" t="s">
        <v>57</v>
      </c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3"/>
      <c r="AW34" s="114" t="s">
        <v>18</v>
      </c>
      <c r="AX34" s="115"/>
      <c r="AY34" s="115"/>
      <c r="AZ34" s="115"/>
      <c r="BA34" s="115"/>
      <c r="BB34" s="115"/>
      <c r="BC34" s="115"/>
      <c r="BD34" s="115"/>
      <c r="BE34" s="115"/>
      <c r="BF34" s="115"/>
      <c r="BG34" s="116"/>
      <c r="BH34" s="114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6"/>
      <c r="BV34" s="103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5"/>
      <c r="CJ34" s="106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8"/>
    </row>
    <row r="35" spans="1:105" ht="15">
      <c r="A35" s="109" t="s">
        <v>58</v>
      </c>
      <c r="B35" s="110"/>
      <c r="C35" s="110"/>
      <c r="D35" s="110"/>
      <c r="E35" s="110"/>
      <c r="F35" s="110"/>
      <c r="G35" s="110"/>
      <c r="H35" s="111"/>
      <c r="I35" s="2"/>
      <c r="J35" s="112" t="s">
        <v>59</v>
      </c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3"/>
      <c r="AW35" s="114" t="s">
        <v>18</v>
      </c>
      <c r="AX35" s="115"/>
      <c r="AY35" s="115"/>
      <c r="AZ35" s="115"/>
      <c r="BA35" s="115"/>
      <c r="BB35" s="115"/>
      <c r="BC35" s="115"/>
      <c r="BD35" s="115"/>
      <c r="BE35" s="115"/>
      <c r="BF35" s="115"/>
      <c r="BG35" s="116"/>
      <c r="BH35" s="117">
        <v>2898.92</v>
      </c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9"/>
      <c r="BV35" s="103">
        <v>2978.116</v>
      </c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5"/>
      <c r="CJ35" s="106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8"/>
    </row>
    <row r="36" spans="1:105" ht="15">
      <c r="A36" s="109" t="s">
        <v>19</v>
      </c>
      <c r="B36" s="110"/>
      <c r="C36" s="110"/>
      <c r="D36" s="110"/>
      <c r="E36" s="110"/>
      <c r="F36" s="110"/>
      <c r="G36" s="110"/>
      <c r="H36" s="111"/>
      <c r="I36" s="2"/>
      <c r="J36" s="112" t="s">
        <v>60</v>
      </c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3"/>
      <c r="AW36" s="114" t="s">
        <v>18</v>
      </c>
      <c r="AX36" s="115"/>
      <c r="AY36" s="115"/>
      <c r="AZ36" s="115"/>
      <c r="BA36" s="115"/>
      <c r="BB36" s="115"/>
      <c r="BC36" s="115"/>
      <c r="BD36" s="115"/>
      <c r="BE36" s="115"/>
      <c r="BF36" s="115"/>
      <c r="BG36" s="116"/>
      <c r="BH36" s="117">
        <v>1159.78</v>
      </c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9"/>
      <c r="BV36" s="103">
        <v>2495.503</v>
      </c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5"/>
      <c r="CJ36" s="106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8"/>
    </row>
    <row r="38" spans="1:105" ht="12.75">
      <c r="A38" s="4" t="s">
        <v>61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</row>
    <row r="39" spans="1:105" ht="39.75" customHeight="1">
      <c r="A39" s="100" t="s">
        <v>62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</row>
    <row r="40" spans="1:105" ht="28.5" customHeight="1">
      <c r="A40" s="100" t="s">
        <v>63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</row>
    <row r="41" spans="1:105" ht="30" customHeight="1">
      <c r="A41" s="100" t="s">
        <v>64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</row>
    <row r="45" spans="1:28" ht="12.75">
      <c r="A45" s="102">
        <f>246.95341+272.6166+285.33635+223.00102+211.9776+199.38226+222.97315+208.57429+221.96922+273.58492+279.83629+331.91086</f>
        <v>2978.11597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</row>
  </sheetData>
  <mergeCells count="154">
    <mergeCell ref="A6:DA6"/>
    <mergeCell ref="A7:DC7"/>
    <mergeCell ref="A8:DC8"/>
    <mergeCell ref="A9:DC9"/>
    <mergeCell ref="AW14:BG14"/>
    <mergeCell ref="BH14:BU14"/>
    <mergeCell ref="A10:DA10"/>
    <mergeCell ref="A12:H13"/>
    <mergeCell ref="I12:AV13"/>
    <mergeCell ref="AW12:BG13"/>
    <mergeCell ref="BH12:CI12"/>
    <mergeCell ref="CJ12:DA13"/>
    <mergeCell ref="BH13:BU13"/>
    <mergeCell ref="BV13:CI13"/>
    <mergeCell ref="BV14:CI14"/>
    <mergeCell ref="CJ14:DA14"/>
    <mergeCell ref="A15:H15"/>
    <mergeCell ref="J15:AV15"/>
    <mergeCell ref="AW15:BG15"/>
    <mergeCell ref="BH15:BU15"/>
    <mergeCell ref="BV15:CI15"/>
    <mergeCell ref="CJ15:DA15"/>
    <mergeCell ref="A14:H14"/>
    <mergeCell ref="J14:AV14"/>
    <mergeCell ref="A16:H16"/>
    <mergeCell ref="J16:AV16"/>
    <mergeCell ref="AW16:BG16"/>
    <mergeCell ref="BH16:BU16"/>
    <mergeCell ref="BV18:CI18"/>
    <mergeCell ref="CJ18:DA18"/>
    <mergeCell ref="A17:H17"/>
    <mergeCell ref="J17:AV17"/>
    <mergeCell ref="AW17:BG17"/>
    <mergeCell ref="BH17:BU17"/>
    <mergeCell ref="BV16:CI16"/>
    <mergeCell ref="CJ16:DA16"/>
    <mergeCell ref="BV17:CI17"/>
    <mergeCell ref="CJ17:DA17"/>
    <mergeCell ref="BV19:CI19"/>
    <mergeCell ref="CJ19:DA19"/>
    <mergeCell ref="A18:H18"/>
    <mergeCell ref="J18:AV18"/>
    <mergeCell ref="A19:H19"/>
    <mergeCell ref="J19:AV19"/>
    <mergeCell ref="AW19:BG19"/>
    <mergeCell ref="BH19:BU19"/>
    <mergeCell ref="AW18:BG18"/>
    <mergeCell ref="BH18:BU18"/>
    <mergeCell ref="A20:H20"/>
    <mergeCell ref="J20:AV20"/>
    <mergeCell ref="AW20:BG20"/>
    <mergeCell ref="BH20:BU20"/>
    <mergeCell ref="BV22:CI22"/>
    <mergeCell ref="CJ22:DA22"/>
    <mergeCell ref="A21:H21"/>
    <mergeCell ref="J21:AV21"/>
    <mergeCell ref="AW21:BG21"/>
    <mergeCell ref="BH21:BU21"/>
    <mergeCell ref="BV20:CI20"/>
    <mergeCell ref="CJ20:DA20"/>
    <mergeCell ref="BV21:CI21"/>
    <mergeCell ref="CJ21:DA21"/>
    <mergeCell ref="BV23:CI23"/>
    <mergeCell ref="CJ23:DA23"/>
    <mergeCell ref="A22:H22"/>
    <mergeCell ref="J22:AV22"/>
    <mergeCell ref="A23:H23"/>
    <mergeCell ref="J23:AV23"/>
    <mergeCell ref="AW23:BG23"/>
    <mergeCell ref="BH23:BU23"/>
    <mergeCell ref="AW22:BG22"/>
    <mergeCell ref="BH22:BU22"/>
    <mergeCell ref="A24:H24"/>
    <mergeCell ref="J24:AV24"/>
    <mergeCell ref="AW24:BG24"/>
    <mergeCell ref="BH24:BU24"/>
    <mergeCell ref="BV26:CI26"/>
    <mergeCell ref="CJ26:DA26"/>
    <mergeCell ref="A25:H25"/>
    <mergeCell ref="J25:AV25"/>
    <mergeCell ref="AW25:BG25"/>
    <mergeCell ref="BH25:BU25"/>
    <mergeCell ref="BV24:CI24"/>
    <mergeCell ref="CJ24:DA24"/>
    <mergeCell ref="BV25:CI25"/>
    <mergeCell ref="CJ25:DA25"/>
    <mergeCell ref="BV27:CI27"/>
    <mergeCell ref="CJ27:DA27"/>
    <mergeCell ref="A26:H26"/>
    <mergeCell ref="J26:AV26"/>
    <mergeCell ref="A27:H27"/>
    <mergeCell ref="J27:AV27"/>
    <mergeCell ref="AW27:BG27"/>
    <mergeCell ref="BH27:BU27"/>
    <mergeCell ref="AW26:BG26"/>
    <mergeCell ref="BH26:BU26"/>
    <mergeCell ref="A28:H28"/>
    <mergeCell ref="J28:AV28"/>
    <mergeCell ref="AW28:BG28"/>
    <mergeCell ref="BH28:BU28"/>
    <mergeCell ref="BV30:CI30"/>
    <mergeCell ref="CJ30:DA30"/>
    <mergeCell ref="A29:H29"/>
    <mergeCell ref="J29:AV29"/>
    <mergeCell ref="AW29:BG29"/>
    <mergeCell ref="BH29:BU29"/>
    <mergeCell ref="BV28:CI28"/>
    <mergeCell ref="CJ28:DA28"/>
    <mergeCell ref="BV29:CI29"/>
    <mergeCell ref="CJ29:DA29"/>
    <mergeCell ref="BV31:CI31"/>
    <mergeCell ref="CJ31:DA31"/>
    <mergeCell ref="A30:H30"/>
    <mergeCell ref="J30:AV30"/>
    <mergeCell ref="A31:H31"/>
    <mergeCell ref="J31:AV31"/>
    <mergeCell ref="AW31:BG31"/>
    <mergeCell ref="BH31:BU31"/>
    <mergeCell ref="AW30:BG30"/>
    <mergeCell ref="BH30:BU30"/>
    <mergeCell ref="A32:H32"/>
    <mergeCell ref="J32:AV32"/>
    <mergeCell ref="AW32:BG32"/>
    <mergeCell ref="BH32:BU32"/>
    <mergeCell ref="BV34:CI34"/>
    <mergeCell ref="CJ34:DA34"/>
    <mergeCell ref="A33:H33"/>
    <mergeCell ref="J33:AV33"/>
    <mergeCell ref="AW33:BG33"/>
    <mergeCell ref="BH33:BU33"/>
    <mergeCell ref="BV32:CI32"/>
    <mergeCell ref="CJ32:DA32"/>
    <mergeCell ref="BV33:CI33"/>
    <mergeCell ref="CJ33:DA33"/>
    <mergeCell ref="BV35:CI35"/>
    <mergeCell ref="CJ35:DA35"/>
    <mergeCell ref="A34:H34"/>
    <mergeCell ref="J34:AV34"/>
    <mergeCell ref="A35:H35"/>
    <mergeCell ref="J35:AV35"/>
    <mergeCell ref="AW35:BG35"/>
    <mergeCell ref="BH35:BU35"/>
    <mergeCell ref="AW34:BG34"/>
    <mergeCell ref="BH34:BU34"/>
    <mergeCell ref="A41:DA41"/>
    <mergeCell ref="A45:AB45"/>
    <mergeCell ref="BV36:CI36"/>
    <mergeCell ref="CJ36:DA36"/>
    <mergeCell ref="A39:DA39"/>
    <mergeCell ref="A40:DA40"/>
    <mergeCell ref="A36:H36"/>
    <mergeCell ref="J36:AV36"/>
    <mergeCell ref="AW36:BG36"/>
    <mergeCell ref="BH36:BU3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0"/>
  <sheetViews>
    <sheetView workbookViewId="0" topLeftCell="C1">
      <selection activeCell="I14" sqref="I14"/>
    </sheetView>
  </sheetViews>
  <sheetFormatPr defaultColWidth="9.140625" defaultRowHeight="12.75"/>
  <cols>
    <col min="1" max="1" width="3.421875" style="0" customWidth="1"/>
    <col min="2" max="2" width="35.421875" style="0" customWidth="1"/>
    <col min="3" max="3" width="10.00390625" style="0" customWidth="1"/>
    <col min="4" max="4" width="10.140625" style="0" customWidth="1"/>
    <col min="8" max="8" width="10.7109375" style="0" customWidth="1"/>
    <col min="9" max="9" width="10.140625" style="0" customWidth="1"/>
  </cols>
  <sheetData>
    <row r="2" spans="1:12" ht="14.25">
      <c r="A2" s="138" t="s">
        <v>65</v>
      </c>
      <c r="B2" s="138"/>
      <c r="C2" s="138"/>
      <c r="D2" s="138"/>
      <c r="E2" s="138"/>
      <c r="F2" s="138"/>
      <c r="G2" s="138"/>
      <c r="H2" s="98">
        <f>H8/H7</f>
        <v>0.014192431236749499</v>
      </c>
      <c r="I2" s="98"/>
      <c r="J2" s="98"/>
      <c r="K2" s="98"/>
      <c r="L2" s="97"/>
    </row>
    <row r="3" spans="1:12" ht="15.75">
      <c r="A3" s="5"/>
      <c r="B3" s="6"/>
      <c r="C3" s="5"/>
      <c r="D3" s="5"/>
      <c r="E3" s="5"/>
      <c r="F3" s="154">
        <f>F7-F10</f>
        <v>0.0281444000000306</v>
      </c>
      <c r="G3" s="5"/>
      <c r="H3" s="99">
        <f>H10+H8</f>
        <v>143.5306057355</v>
      </c>
      <c r="I3" s="99">
        <f>K7+I10+I8</f>
        <v>143.5305991155</v>
      </c>
      <c r="J3" s="98">
        <f>I8/I7</f>
        <v>0.01355</v>
      </c>
      <c r="K3" s="155">
        <f>K7-K10</f>
        <v>0.09220000000000006</v>
      </c>
      <c r="L3" s="97"/>
    </row>
    <row r="4" spans="1:12" ht="15.75">
      <c r="A4" s="139"/>
      <c r="B4" s="140" t="s">
        <v>66</v>
      </c>
      <c r="C4" s="142" t="s">
        <v>67</v>
      </c>
      <c r="D4" s="143"/>
      <c r="E4" s="143"/>
      <c r="F4" s="143"/>
      <c r="G4" s="143"/>
      <c r="H4" s="135" t="s">
        <v>68</v>
      </c>
      <c r="I4" s="136"/>
      <c r="J4" s="136"/>
      <c r="K4" s="136"/>
      <c r="L4" s="136"/>
    </row>
    <row r="5" spans="1:12" ht="15.75">
      <c r="A5" s="139"/>
      <c r="B5" s="141"/>
      <c r="C5" s="7" t="s">
        <v>69</v>
      </c>
      <c r="D5" s="8" t="s">
        <v>70</v>
      </c>
      <c r="E5" s="8" t="s">
        <v>71</v>
      </c>
      <c r="F5" s="8" t="s">
        <v>72</v>
      </c>
      <c r="G5" s="8" t="s">
        <v>73</v>
      </c>
      <c r="H5" s="9" t="s">
        <v>69</v>
      </c>
      <c r="I5" s="10" t="s">
        <v>70</v>
      </c>
      <c r="J5" s="10" t="s">
        <v>71</v>
      </c>
      <c r="K5" s="10" t="s">
        <v>74</v>
      </c>
      <c r="L5" s="10" t="s">
        <v>73</v>
      </c>
    </row>
    <row r="6" spans="1:12" ht="15.75">
      <c r="A6" s="11"/>
      <c r="B6" s="12">
        <v>2</v>
      </c>
      <c r="C6" s="13">
        <v>3</v>
      </c>
      <c r="D6" s="14">
        <v>4</v>
      </c>
      <c r="E6" s="15">
        <v>5</v>
      </c>
      <c r="F6" s="14">
        <v>6</v>
      </c>
      <c r="G6" s="15">
        <v>7</v>
      </c>
      <c r="H6" s="16">
        <v>7</v>
      </c>
      <c r="I6" s="17">
        <v>8</v>
      </c>
      <c r="J6" s="18">
        <v>9</v>
      </c>
      <c r="K6" s="17">
        <v>10</v>
      </c>
      <c r="L6" s="19">
        <v>11</v>
      </c>
    </row>
    <row r="7" spans="1:12" ht="31.5">
      <c r="A7" s="20"/>
      <c r="B7" s="21" t="s">
        <v>75</v>
      </c>
      <c r="C7" s="22">
        <f>D7</f>
        <v>140.764</v>
      </c>
      <c r="D7" s="23">
        <v>140.764</v>
      </c>
      <c r="E7" s="24">
        <v>0</v>
      </c>
      <c r="F7" s="25">
        <f>D7-D8-D10</f>
        <v>1.2781444000000306</v>
      </c>
      <c r="G7" s="26">
        <v>0</v>
      </c>
      <c r="H7" s="27">
        <f>I7</f>
        <v>143.52761</v>
      </c>
      <c r="I7" s="28">
        <v>143.52761</v>
      </c>
      <c r="J7" s="29">
        <v>0</v>
      </c>
      <c r="K7" s="28">
        <v>1.5884</v>
      </c>
      <c r="L7" s="28">
        <v>0</v>
      </c>
    </row>
    <row r="8" spans="1:12" ht="15.75">
      <c r="A8" s="20"/>
      <c r="B8" s="21" t="s">
        <v>76</v>
      </c>
      <c r="C8" s="30">
        <f>D8+F8</f>
        <v>1.8439747768000008</v>
      </c>
      <c r="D8" s="31">
        <f>D7*D9/100</f>
        <v>1.8158556000000001</v>
      </c>
      <c r="E8" s="32">
        <v>0</v>
      </c>
      <c r="F8" s="33">
        <f>F7*F9/100</f>
        <v>0.028119176800000676</v>
      </c>
      <c r="G8" s="34">
        <v>0</v>
      </c>
      <c r="H8" s="35">
        <f>SUM(I8:L8)</f>
        <v>2.0370057354999997</v>
      </c>
      <c r="I8" s="31">
        <f>I7*I9/100</f>
        <v>1.9447991155</v>
      </c>
      <c r="J8" s="37">
        <f>J7*J9/100</f>
        <v>0</v>
      </c>
      <c r="K8" s="33">
        <f>K7*K9/100</f>
        <v>0.09220661999999999</v>
      </c>
      <c r="L8" s="36">
        <f>L7*L9/100</f>
        <v>0</v>
      </c>
    </row>
    <row r="9" spans="1:12" ht="15.75">
      <c r="A9" s="20"/>
      <c r="B9" s="21" t="s">
        <v>77</v>
      </c>
      <c r="C9" s="22">
        <f>C8/C7*100</f>
        <v>1.3099761137790917</v>
      </c>
      <c r="D9" s="38">
        <v>1.29</v>
      </c>
      <c r="E9" s="32">
        <v>0</v>
      </c>
      <c r="F9" s="33">
        <v>2.2</v>
      </c>
      <c r="G9" s="38"/>
      <c r="H9" s="35">
        <f>H8/H7*100</f>
        <v>1.4192431236749499</v>
      </c>
      <c r="I9" s="39">
        <v>1.355</v>
      </c>
      <c r="J9" s="40"/>
      <c r="K9" s="39">
        <v>5.805</v>
      </c>
      <c r="L9" s="41"/>
    </row>
    <row r="10" spans="1:12" ht="63">
      <c r="A10" s="20"/>
      <c r="B10" s="42" t="s">
        <v>78</v>
      </c>
      <c r="C10" s="43">
        <f>D10+F10</f>
        <v>138.92</v>
      </c>
      <c r="D10" s="44">
        <f>115.3+22.37</f>
        <v>137.67</v>
      </c>
      <c r="E10" s="32">
        <v>0</v>
      </c>
      <c r="F10" s="44">
        <f>1.05+0.2</f>
        <v>1.25</v>
      </c>
      <c r="G10" s="45">
        <v>0</v>
      </c>
      <c r="H10" s="35">
        <f>I10+K10</f>
        <v>141.4936</v>
      </c>
      <c r="I10" s="36">
        <v>139.9974</v>
      </c>
      <c r="J10" s="37">
        <f>SUM(J11:J15)</f>
        <v>0</v>
      </c>
      <c r="K10" s="36">
        <v>1.4962</v>
      </c>
      <c r="L10" s="36">
        <f>L7-L8</f>
        <v>0</v>
      </c>
    </row>
    <row r="12" spans="2:12" ht="12.75">
      <c r="B12" s="137" t="s">
        <v>79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</row>
    <row r="13" spans="2:12" ht="22.5" customHeight="1"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</row>
    <row r="14" spans="2:9" ht="15.75">
      <c r="B14" s="46"/>
      <c r="C14" s="46"/>
      <c r="D14" s="46"/>
      <c r="E14" s="46"/>
      <c r="F14" s="46"/>
      <c r="G14" s="46"/>
      <c r="I14" s="97">
        <f>H8*1.437288</f>
        <v>2.9277638995653232</v>
      </c>
    </row>
    <row r="15" ht="12.75">
      <c r="H15" s="47"/>
    </row>
    <row r="16" spans="2:12" ht="15.75">
      <c r="B16" s="134" t="s">
        <v>116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</row>
    <row r="17" spans="2:12" ht="15.75">
      <c r="B17" s="134" t="s">
        <v>118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</row>
    <row r="18" spans="2:12" ht="15.75">
      <c r="B18" s="134" t="s">
        <v>117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</row>
    <row r="19" spans="2:12" ht="12.75">
      <c r="B19" s="96">
        <f>246.95341+272.6166+285.33635+223.00102+211.9776+199.38226+222.97315+208.57429+221.96922+273.58492+279.83629+331.91086</f>
        <v>2978.11597</v>
      </c>
      <c r="C19" s="3"/>
      <c r="D19" s="3"/>
      <c r="E19" s="3"/>
      <c r="F19" s="3"/>
      <c r="G19" s="3"/>
      <c r="H19" s="3"/>
      <c r="I19" s="3"/>
      <c r="J19" s="3"/>
      <c r="K19" s="3"/>
      <c r="L19" s="3"/>
    </row>
    <row r="20" ht="12.75">
      <c r="B20" s="97">
        <f>1055.86258+964.07035+918.18186+844.92879+799.91643+712.48958+717.38265+731.18484+788.11514+888.17654+982.81671+1067.89441</f>
        <v>10471.01988</v>
      </c>
    </row>
  </sheetData>
  <sheetProtection/>
  <protectedRanges>
    <protectedRange sqref="I16:L18 L9 J9" name="Диапазон1"/>
    <protectedRange sqref="D16:G18" name="Диапазон1_1"/>
    <protectedRange sqref="K9" name="Диапазон1_6"/>
    <protectedRange sqref="I9" name="Диапазон1_6_1"/>
  </protectedRanges>
  <mergeCells count="9">
    <mergeCell ref="A2:G2"/>
    <mergeCell ref="A4:A5"/>
    <mergeCell ref="B4:B5"/>
    <mergeCell ref="C4:G4"/>
    <mergeCell ref="B18:L18"/>
    <mergeCell ref="H4:L4"/>
    <mergeCell ref="B12:L13"/>
    <mergeCell ref="B16:L16"/>
    <mergeCell ref="B17:L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Q27"/>
  <sheetViews>
    <sheetView workbookViewId="0" topLeftCell="A4">
      <pane xSplit="2" ySplit="4" topLeftCell="M14" activePane="bottomRight" state="frozen"/>
      <selection pane="topLeft" activeCell="A4" sqref="A4"/>
      <selection pane="topRight" activeCell="C4" sqref="C4"/>
      <selection pane="bottomLeft" activeCell="A8" sqref="A8"/>
      <selection pane="bottomRight" activeCell="N20" sqref="N20"/>
    </sheetView>
  </sheetViews>
  <sheetFormatPr defaultColWidth="9.140625" defaultRowHeight="12.75"/>
  <cols>
    <col min="1" max="1" width="6.421875" style="0" customWidth="1"/>
    <col min="2" max="2" width="27.8515625" style="0" customWidth="1"/>
    <col min="3" max="7" width="10.00390625" style="0" hidden="1" customWidth="1"/>
    <col min="8" max="12" width="10.00390625" style="0" customWidth="1"/>
    <col min="13" max="13" width="9.8515625" style="0" customWidth="1"/>
    <col min="14" max="14" width="9.57421875" style="0" bestFit="1" customWidth="1"/>
  </cols>
  <sheetData>
    <row r="3" spans="1:17" ht="18.75">
      <c r="A3" s="144" t="s">
        <v>80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</row>
    <row r="4" spans="1:17" ht="13.5" thickBot="1">
      <c r="A4" s="48"/>
      <c r="B4" s="49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50" t="s">
        <v>81</v>
      </c>
      <c r="Q4" s="50"/>
    </row>
    <row r="5" spans="1:17" ht="15.75" customHeight="1">
      <c r="A5" s="145" t="s">
        <v>82</v>
      </c>
      <c r="B5" s="147" t="s">
        <v>66</v>
      </c>
      <c r="C5" s="145" t="s">
        <v>83</v>
      </c>
      <c r="D5" s="149"/>
      <c r="E5" s="149"/>
      <c r="F5" s="149"/>
      <c r="G5" s="150"/>
      <c r="H5" s="145" t="s">
        <v>114</v>
      </c>
      <c r="I5" s="149"/>
      <c r="J5" s="149"/>
      <c r="K5" s="149"/>
      <c r="L5" s="150"/>
      <c r="M5" s="151" t="s">
        <v>115</v>
      </c>
      <c r="N5" s="152"/>
      <c r="O5" s="152"/>
      <c r="P5" s="152"/>
      <c r="Q5" s="153"/>
    </row>
    <row r="6" spans="1:17" ht="16.5" thickBot="1">
      <c r="A6" s="146"/>
      <c r="B6" s="148"/>
      <c r="C6" s="51" t="s">
        <v>69</v>
      </c>
      <c r="D6" s="52" t="s">
        <v>70</v>
      </c>
      <c r="E6" s="52" t="s">
        <v>71</v>
      </c>
      <c r="F6" s="52" t="s">
        <v>74</v>
      </c>
      <c r="G6" s="53" t="s">
        <v>73</v>
      </c>
      <c r="H6" s="51" t="s">
        <v>69</v>
      </c>
      <c r="I6" s="52" t="s">
        <v>70</v>
      </c>
      <c r="J6" s="52" t="s">
        <v>71</v>
      </c>
      <c r="K6" s="52" t="s">
        <v>74</v>
      </c>
      <c r="L6" s="53" t="s">
        <v>73</v>
      </c>
      <c r="M6" s="51" t="s">
        <v>69</v>
      </c>
      <c r="N6" s="52" t="s">
        <v>70</v>
      </c>
      <c r="O6" s="52" t="s">
        <v>71</v>
      </c>
      <c r="P6" s="52" t="s">
        <v>74</v>
      </c>
      <c r="Q6" s="53" t="s">
        <v>73</v>
      </c>
    </row>
    <row r="7" spans="1:17" ht="13.5" thickBot="1">
      <c r="A7" s="54">
        <v>1</v>
      </c>
      <c r="B7" s="55">
        <v>2</v>
      </c>
      <c r="C7" s="54">
        <v>13</v>
      </c>
      <c r="D7" s="56">
        <v>14</v>
      </c>
      <c r="E7" s="56">
        <v>15</v>
      </c>
      <c r="F7" s="56">
        <v>16</v>
      </c>
      <c r="G7" s="57">
        <v>17</v>
      </c>
      <c r="H7" s="54"/>
      <c r="I7" s="56"/>
      <c r="J7" s="56"/>
      <c r="K7" s="56"/>
      <c r="L7" s="57"/>
      <c r="M7" s="54">
        <v>18</v>
      </c>
      <c r="N7" s="56">
        <v>19</v>
      </c>
      <c r="O7" s="56">
        <v>20</v>
      </c>
      <c r="P7" s="56">
        <v>21</v>
      </c>
      <c r="Q7" s="57">
        <v>22</v>
      </c>
    </row>
    <row r="8" spans="1:17" ht="31.5">
      <c r="A8" s="58" t="s">
        <v>84</v>
      </c>
      <c r="B8" s="59" t="s">
        <v>75</v>
      </c>
      <c r="C8" s="60">
        <f>C18+C20+C21</f>
        <v>197.0177</v>
      </c>
      <c r="D8" s="61">
        <f>D14+D15+D16+D17</f>
        <v>197.0177</v>
      </c>
      <c r="E8" s="61">
        <f>E9+E14+E15+E16+E17</f>
        <v>0</v>
      </c>
      <c r="F8" s="61">
        <f>F9+F14+F15+F16+F17</f>
        <v>1.822571670000002</v>
      </c>
      <c r="G8" s="62">
        <f>G9+G14+G15+G16+G17</f>
        <v>2.669359800222537E-05</v>
      </c>
      <c r="H8" s="60">
        <f>H18+H20+H21</f>
        <v>202.454806</v>
      </c>
      <c r="I8" s="61">
        <f>I14+I15+I16+I17</f>
        <v>202.454806</v>
      </c>
      <c r="J8" s="61">
        <f>J9+J14+J15+J16+J17</f>
        <v>0</v>
      </c>
      <c r="K8" s="61">
        <f>K9+K14+K15+K16+K17</f>
        <v>2.156878378699986</v>
      </c>
      <c r="L8" s="62">
        <f>L9+L14+L15+L16+L17</f>
        <v>4.921314071149041E-05</v>
      </c>
      <c r="M8" s="60">
        <f>M18+M20+M21</f>
        <v>212.13620000000003</v>
      </c>
      <c r="N8" s="61">
        <f>N14+N15+N16+N17</f>
        <v>212.1362</v>
      </c>
      <c r="O8" s="61">
        <f>O9+O14+O15+O16+O17</f>
        <v>0</v>
      </c>
      <c r="P8" s="61">
        <f>P9+P14+P15+P16+P17</f>
        <v>1.29564302</v>
      </c>
      <c r="Q8" s="62">
        <f>Q9+Q14+Q15+Q16+Q17</f>
        <v>3.6385695999952006E-05</v>
      </c>
    </row>
    <row r="9" spans="1:17" ht="15.75">
      <c r="A9" s="63" t="s">
        <v>85</v>
      </c>
      <c r="B9" s="64" t="s">
        <v>86</v>
      </c>
      <c r="C9" s="65" t="s">
        <v>87</v>
      </c>
      <c r="D9" s="66" t="s">
        <v>87</v>
      </c>
      <c r="E9" s="67">
        <f>E11</f>
        <v>0</v>
      </c>
      <c r="F9" s="67">
        <f>F11+F12</f>
        <v>1.822571670000002</v>
      </c>
      <c r="G9" s="68">
        <f>G11+G12+G13</f>
        <v>2.669359800222537E-05</v>
      </c>
      <c r="H9" s="65" t="s">
        <v>87</v>
      </c>
      <c r="I9" s="66" t="s">
        <v>87</v>
      </c>
      <c r="J9" s="67">
        <f>J11</f>
        <v>0</v>
      </c>
      <c r="K9" s="67">
        <f>K11+K12</f>
        <v>2.156878378699986</v>
      </c>
      <c r="L9" s="68">
        <f>L11+L12+L13</f>
        <v>4.921314071149041E-05</v>
      </c>
      <c r="M9" s="65" t="s">
        <v>87</v>
      </c>
      <c r="N9" s="66" t="s">
        <v>87</v>
      </c>
      <c r="O9" s="67">
        <f>O11</f>
        <v>0</v>
      </c>
      <c r="P9" s="67">
        <f>P11+P12</f>
        <v>1.29564302</v>
      </c>
      <c r="Q9" s="68">
        <f>Q11+Q12+Q13</f>
        <v>3.6385695999952006E-05</v>
      </c>
    </row>
    <row r="10" spans="1:17" ht="15.75">
      <c r="A10" s="63"/>
      <c r="B10" s="64" t="s">
        <v>88</v>
      </c>
      <c r="C10" s="65" t="s">
        <v>87</v>
      </c>
      <c r="D10" s="69" t="s">
        <v>87</v>
      </c>
      <c r="E10" s="69" t="s">
        <v>87</v>
      </c>
      <c r="F10" s="69" t="s">
        <v>87</v>
      </c>
      <c r="G10" s="70" t="s">
        <v>87</v>
      </c>
      <c r="H10" s="65" t="s">
        <v>87</v>
      </c>
      <c r="I10" s="69" t="s">
        <v>87</v>
      </c>
      <c r="J10" s="69" t="s">
        <v>87</v>
      </c>
      <c r="K10" s="69" t="s">
        <v>87</v>
      </c>
      <c r="L10" s="70" t="s">
        <v>87</v>
      </c>
      <c r="M10" s="65" t="s">
        <v>87</v>
      </c>
      <c r="N10" s="69" t="s">
        <v>87</v>
      </c>
      <c r="O10" s="69" t="s">
        <v>87</v>
      </c>
      <c r="P10" s="69" t="s">
        <v>87</v>
      </c>
      <c r="Q10" s="70" t="s">
        <v>87</v>
      </c>
    </row>
    <row r="11" spans="1:17" ht="15.75">
      <c r="A11" s="63" t="s">
        <v>89</v>
      </c>
      <c r="B11" s="64" t="s">
        <v>70</v>
      </c>
      <c r="C11" s="65" t="s">
        <v>87</v>
      </c>
      <c r="D11" s="71" t="s">
        <v>87</v>
      </c>
      <c r="E11" s="72"/>
      <c r="F11" s="73">
        <f>D8-D18-D20-D21-E11-G11</f>
        <v>1.822571670000002</v>
      </c>
      <c r="G11" s="74"/>
      <c r="H11" s="65" t="s">
        <v>87</v>
      </c>
      <c r="I11" s="71" t="s">
        <v>87</v>
      </c>
      <c r="J11" s="72"/>
      <c r="K11" s="73">
        <f>I8-I18-I20-I21-J11-L11</f>
        <v>2.156878378699986</v>
      </c>
      <c r="L11" s="74"/>
      <c r="M11" s="65" t="s">
        <v>87</v>
      </c>
      <c r="N11" s="71" t="s">
        <v>87</v>
      </c>
      <c r="O11" s="72"/>
      <c r="P11" s="73">
        <f>N8-N18-N20-N21-O11-Q11</f>
        <v>1.29564302</v>
      </c>
      <c r="Q11" s="74"/>
    </row>
    <row r="12" spans="1:17" ht="15.75">
      <c r="A12" s="63" t="s">
        <v>90</v>
      </c>
      <c r="B12" s="64" t="s">
        <v>71</v>
      </c>
      <c r="C12" s="65" t="s">
        <v>87</v>
      </c>
      <c r="D12" s="71" t="s">
        <v>87</v>
      </c>
      <c r="E12" s="71" t="s">
        <v>87</v>
      </c>
      <c r="F12" s="73">
        <f>E8-E18-E20-E21-G12</f>
        <v>0</v>
      </c>
      <c r="G12" s="74"/>
      <c r="H12" s="65" t="s">
        <v>87</v>
      </c>
      <c r="I12" s="71" t="s">
        <v>87</v>
      </c>
      <c r="J12" s="71" t="s">
        <v>87</v>
      </c>
      <c r="K12" s="73">
        <f>J8-J18-J20-J21-L12</f>
        <v>0</v>
      </c>
      <c r="L12" s="74"/>
      <c r="M12" s="65" t="s">
        <v>87</v>
      </c>
      <c r="N12" s="71" t="s">
        <v>87</v>
      </c>
      <c r="O12" s="71" t="s">
        <v>87</v>
      </c>
      <c r="P12" s="73">
        <f>O8-O18-O20-O21-Q12</f>
        <v>0</v>
      </c>
      <c r="Q12" s="74"/>
    </row>
    <row r="13" spans="1:17" ht="15.75">
      <c r="A13" s="63" t="s">
        <v>91</v>
      </c>
      <c r="B13" s="64" t="s">
        <v>74</v>
      </c>
      <c r="C13" s="65" t="s">
        <v>87</v>
      </c>
      <c r="D13" s="71" t="s">
        <v>87</v>
      </c>
      <c r="E13" s="71" t="s">
        <v>87</v>
      </c>
      <c r="F13" s="71" t="s">
        <v>87</v>
      </c>
      <c r="G13" s="75">
        <f>F8-F18-F20-F21</f>
        <v>2.669359800222537E-05</v>
      </c>
      <c r="H13" s="65" t="s">
        <v>87</v>
      </c>
      <c r="I13" s="71" t="s">
        <v>87</v>
      </c>
      <c r="J13" s="71" t="s">
        <v>87</v>
      </c>
      <c r="K13" s="71" t="s">
        <v>87</v>
      </c>
      <c r="L13" s="75">
        <f>K8-K18-K20-K21</f>
        <v>4.921314071149041E-05</v>
      </c>
      <c r="M13" s="65" t="s">
        <v>87</v>
      </c>
      <c r="N13" s="71" t="s">
        <v>87</v>
      </c>
      <c r="O13" s="71" t="s">
        <v>87</v>
      </c>
      <c r="P13" s="71" t="s">
        <v>87</v>
      </c>
      <c r="Q13" s="75">
        <f>P8-P18-P20-P21</f>
        <v>3.6385695999952006E-05</v>
      </c>
    </row>
    <row r="14" spans="1:17" ht="15.75">
      <c r="A14" s="63" t="s">
        <v>92</v>
      </c>
      <c r="B14" s="64" t="s">
        <v>93</v>
      </c>
      <c r="C14" s="76">
        <f>SUM(D14:G14)</f>
        <v>0</v>
      </c>
      <c r="D14" s="77"/>
      <c r="E14" s="77"/>
      <c r="F14" s="77"/>
      <c r="G14" s="74"/>
      <c r="H14" s="76">
        <f>SUM(I14:L14)</f>
        <v>0</v>
      </c>
      <c r="I14" s="77"/>
      <c r="J14" s="77"/>
      <c r="K14" s="77"/>
      <c r="L14" s="74"/>
      <c r="M14" s="76">
        <f>SUM(N14:Q14)</f>
        <v>0</v>
      </c>
      <c r="N14" s="77"/>
      <c r="O14" s="77"/>
      <c r="P14" s="77"/>
      <c r="Q14" s="74"/>
    </row>
    <row r="15" spans="1:17" ht="15.75">
      <c r="A15" s="63" t="s">
        <v>94</v>
      </c>
      <c r="B15" s="64" t="s">
        <v>95</v>
      </c>
      <c r="C15" s="76">
        <f>SUM(D15:G15)</f>
        <v>0</v>
      </c>
      <c r="D15" s="78"/>
      <c r="E15" s="78"/>
      <c r="F15" s="78"/>
      <c r="G15" s="74"/>
      <c r="H15" s="76">
        <f>SUM(I15:L15)</f>
        <v>0</v>
      </c>
      <c r="I15" s="78"/>
      <c r="J15" s="78"/>
      <c r="K15" s="78"/>
      <c r="L15" s="74"/>
      <c r="M15" s="76">
        <f>SUM(N15:Q15)</f>
        <v>0</v>
      </c>
      <c r="N15" s="78"/>
      <c r="O15" s="78"/>
      <c r="P15" s="78"/>
      <c r="Q15" s="74"/>
    </row>
    <row r="16" spans="1:17" ht="15.75">
      <c r="A16" s="63" t="s">
        <v>96</v>
      </c>
      <c r="B16" s="64" t="s">
        <v>97</v>
      </c>
      <c r="C16" s="76">
        <f>SUM(D16:G16)</f>
        <v>197.0177</v>
      </c>
      <c r="D16" s="79">
        <v>197.0177</v>
      </c>
      <c r="E16" s="78"/>
      <c r="F16" s="78"/>
      <c r="G16" s="74"/>
      <c r="H16" s="76">
        <f>SUM(I16:L16)</f>
        <v>202.454806</v>
      </c>
      <c r="I16" s="79">
        <v>202.454806</v>
      </c>
      <c r="J16" s="78"/>
      <c r="K16" s="78"/>
      <c r="L16" s="74"/>
      <c r="M16" s="76">
        <f>SUM(N16:Q16)</f>
        <v>212.1362</v>
      </c>
      <c r="N16" s="79">
        <v>212.1362</v>
      </c>
      <c r="O16" s="78"/>
      <c r="P16" s="78"/>
      <c r="Q16" s="74"/>
    </row>
    <row r="17" spans="1:17" ht="31.5">
      <c r="A17" s="63" t="s">
        <v>98</v>
      </c>
      <c r="B17" s="64" t="s">
        <v>99</v>
      </c>
      <c r="C17" s="76">
        <f>SUM(D17:G17)</f>
        <v>0</v>
      </c>
      <c r="D17" s="78"/>
      <c r="E17" s="78"/>
      <c r="F17" s="78"/>
      <c r="G17" s="74"/>
      <c r="H17" s="76">
        <f>SUM(I17:L17)</f>
        <v>0</v>
      </c>
      <c r="I17" s="78"/>
      <c r="J17" s="78"/>
      <c r="K17" s="78"/>
      <c r="L17" s="74"/>
      <c r="M17" s="76">
        <f>SUM(N17:Q17)</f>
        <v>0</v>
      </c>
      <c r="N17" s="78"/>
      <c r="O17" s="78"/>
      <c r="P17" s="78"/>
      <c r="Q17" s="74"/>
    </row>
    <row r="18" spans="1:17" ht="31.5">
      <c r="A18" s="63" t="s">
        <v>100</v>
      </c>
      <c r="B18" s="64" t="s">
        <v>76</v>
      </c>
      <c r="C18" s="76">
        <f>SUM(D18:G18)</f>
        <v>2.579073306402</v>
      </c>
      <c r="D18" s="67">
        <f>D8*D19/100</f>
        <v>2.54152833</v>
      </c>
      <c r="E18" s="67">
        <f>E8*E19/100</f>
        <v>0</v>
      </c>
      <c r="F18" s="67">
        <f>F8*F19/100</f>
        <v>0.037544976402000045</v>
      </c>
      <c r="G18" s="68">
        <f>G8*G19/100</f>
        <v>0</v>
      </c>
      <c r="H18" s="76">
        <f>SUM(I18:L18)</f>
        <v>2.8689007868592737</v>
      </c>
      <c r="I18" s="67">
        <f>I8*I19/100</f>
        <v>2.7432626212999995</v>
      </c>
      <c r="J18" s="67">
        <f>J8*J19/100</f>
        <v>0</v>
      </c>
      <c r="K18" s="67">
        <f>K8*K19/100</f>
        <v>0.12563816555927418</v>
      </c>
      <c r="L18" s="68">
        <f>L8*L19/100</f>
        <v>0</v>
      </c>
      <c r="M18" s="76">
        <f>SUM(N18:Q18)</f>
        <v>2.7821636143040003</v>
      </c>
      <c r="N18" s="67">
        <f>N8*N19/100</f>
        <v>2.7365569800000005</v>
      </c>
      <c r="O18" s="67">
        <f>O8*O19/100</f>
        <v>0</v>
      </c>
      <c r="P18" s="67">
        <f>P8*P19/100</f>
        <v>0.045606634304</v>
      </c>
      <c r="Q18" s="68">
        <f>Q8*Q19/100</f>
        <v>0</v>
      </c>
    </row>
    <row r="19" spans="1:17" ht="15.75">
      <c r="A19" s="63" t="s">
        <v>101</v>
      </c>
      <c r="B19" s="64" t="s">
        <v>102</v>
      </c>
      <c r="C19" s="76">
        <f>IF(C8=0,0,C18/C8*100)</f>
        <v>1.3090566514592343</v>
      </c>
      <c r="D19" s="80">
        <v>1.29</v>
      </c>
      <c r="E19" s="81"/>
      <c r="F19" s="81">
        <v>2.06</v>
      </c>
      <c r="G19" s="82"/>
      <c r="H19" s="76">
        <f>IF(H8=0,0,H18/H8*100)</f>
        <v>1.4170573885310849</v>
      </c>
      <c r="I19" s="80">
        <v>1.355</v>
      </c>
      <c r="J19" s="81"/>
      <c r="K19" s="81">
        <v>5.825</v>
      </c>
      <c r="L19" s="82"/>
      <c r="M19" s="76">
        <f>IF(M8=0,0,M18/M8*100)</f>
        <v>1.3114987514172498</v>
      </c>
      <c r="N19" s="80">
        <v>1.29</v>
      </c>
      <c r="O19" s="81"/>
      <c r="P19" s="81">
        <v>3.52</v>
      </c>
      <c r="Q19" s="82"/>
    </row>
    <row r="20" spans="1:17" ht="47.25">
      <c r="A20" s="63" t="s">
        <v>103</v>
      </c>
      <c r="B20" s="64" t="s">
        <v>104</v>
      </c>
      <c r="C20" s="76">
        <f>SUM(D20:G20)</f>
        <v>55.5186</v>
      </c>
      <c r="D20" s="81">
        <f>55.5186-F20</f>
        <v>54.9836</v>
      </c>
      <c r="E20" s="81"/>
      <c r="F20" s="81">
        <v>0.535</v>
      </c>
      <c r="G20" s="82"/>
      <c r="H20" s="76">
        <f>SUM(I20:L20)</f>
        <v>58.092221</v>
      </c>
      <c r="I20" s="81">
        <f>58.092221-K20</f>
        <v>57.557221000000006</v>
      </c>
      <c r="J20" s="81"/>
      <c r="K20" s="81">
        <v>0.535</v>
      </c>
      <c r="L20" s="82"/>
      <c r="M20" s="76">
        <f>SUM(N20:Q20)</f>
        <v>58.65</v>
      </c>
      <c r="N20" s="81">
        <v>58.65</v>
      </c>
      <c r="O20" s="81"/>
      <c r="P20" s="81"/>
      <c r="Q20" s="82"/>
    </row>
    <row r="21" spans="1:17" ht="15.75">
      <c r="A21" s="63" t="s">
        <v>105</v>
      </c>
      <c r="B21" s="64" t="s">
        <v>106</v>
      </c>
      <c r="C21" s="76">
        <f>SUM(D21:G21)</f>
        <v>138.920026693598</v>
      </c>
      <c r="D21" s="67">
        <f>D22+D23+D24</f>
        <v>137.67</v>
      </c>
      <c r="E21" s="67">
        <f>E22+E23+E24</f>
        <v>0</v>
      </c>
      <c r="F21" s="67">
        <f>F22+F23+F24</f>
        <v>1.25</v>
      </c>
      <c r="G21" s="68">
        <f>G8-G18-G20</f>
        <v>2.669359800222537E-05</v>
      </c>
      <c r="H21" s="76">
        <f>SUM(I21:L21)</f>
        <v>141.4936842131407</v>
      </c>
      <c r="I21" s="67">
        <f>I22+I23+I24</f>
        <v>139.997444</v>
      </c>
      <c r="J21" s="67">
        <f>J22+J23+J24</f>
        <v>0</v>
      </c>
      <c r="K21" s="67">
        <f>K22+K23+K24</f>
        <v>1.496191</v>
      </c>
      <c r="L21" s="68">
        <f>L8-L18-L20</f>
        <v>4.921314071149041E-05</v>
      </c>
      <c r="M21" s="76">
        <f>SUM(N21:Q21)</f>
        <v>150.704036385696</v>
      </c>
      <c r="N21" s="67">
        <f>N22+N23+N24</f>
        <v>149.454</v>
      </c>
      <c r="O21" s="67">
        <f>O22+O23+O24</f>
        <v>0</v>
      </c>
      <c r="P21" s="67">
        <f>P22+P23+P24</f>
        <v>1.25</v>
      </c>
      <c r="Q21" s="68">
        <f>Q8-Q18-Q20</f>
        <v>3.6385695999952006E-05</v>
      </c>
    </row>
    <row r="22" spans="1:17" ht="31.5">
      <c r="A22" s="63" t="s">
        <v>107</v>
      </c>
      <c r="B22" s="64" t="s">
        <v>108</v>
      </c>
      <c r="C22" s="76">
        <f>SUM(D22:G22)</f>
        <v>23.42</v>
      </c>
      <c r="D22" s="79">
        <v>22.37</v>
      </c>
      <c r="E22" s="79"/>
      <c r="F22" s="79">
        <v>1.05</v>
      </c>
      <c r="G22" s="82"/>
      <c r="H22" s="76">
        <f>SUM(I22:L22)</f>
        <v>26.624883</v>
      </c>
      <c r="I22" s="79">
        <f>26.624883-K22</f>
        <v>25.328692</v>
      </c>
      <c r="J22" s="79"/>
      <c r="K22" s="79">
        <f>1.286983+0.009208</f>
        <v>1.296191</v>
      </c>
      <c r="L22" s="82"/>
      <c r="M22" s="76">
        <f>SUM(N22:Q22)</f>
        <v>0</v>
      </c>
      <c r="N22" s="79"/>
      <c r="O22" s="79"/>
      <c r="P22" s="79"/>
      <c r="Q22" s="82"/>
    </row>
    <row r="23" spans="1:17" ht="15.75">
      <c r="A23" s="83" t="s">
        <v>109</v>
      </c>
      <c r="B23" s="84" t="s">
        <v>110</v>
      </c>
      <c r="C23" s="76">
        <f>SUM(D23:G23)</f>
        <v>0</v>
      </c>
      <c r="D23" s="85"/>
      <c r="E23" s="85"/>
      <c r="F23" s="85"/>
      <c r="G23" s="86"/>
      <c r="H23" s="76">
        <f>SUM(I23:L23)</f>
        <v>0</v>
      </c>
      <c r="I23" s="85"/>
      <c r="J23" s="85"/>
      <c r="K23" s="85"/>
      <c r="L23" s="86"/>
      <c r="M23" s="76">
        <f>SUM(N23:Q23)</f>
        <v>35.204</v>
      </c>
      <c r="N23" s="85">
        <f>35.204-P23</f>
        <v>34.154</v>
      </c>
      <c r="O23" s="85"/>
      <c r="P23" s="85">
        <v>1.05</v>
      </c>
      <c r="Q23" s="86"/>
    </row>
    <row r="24" spans="1:17" ht="32.25" thickBot="1">
      <c r="A24" s="87" t="s">
        <v>111</v>
      </c>
      <c r="B24" s="88" t="s">
        <v>112</v>
      </c>
      <c r="C24" s="89">
        <f>SUM(D24:G24)</f>
        <v>115.5</v>
      </c>
      <c r="D24" s="79">
        <v>115.3</v>
      </c>
      <c r="E24" s="79"/>
      <c r="F24" s="79">
        <v>0.2</v>
      </c>
      <c r="G24" s="90"/>
      <c r="H24" s="89">
        <f>SUM(I24:L24)</f>
        <v>114.868752</v>
      </c>
      <c r="I24" s="79">
        <f>114.868752-K24</f>
        <v>114.668752</v>
      </c>
      <c r="J24" s="79"/>
      <c r="K24" s="79">
        <v>0.2</v>
      </c>
      <c r="L24" s="90"/>
      <c r="M24" s="89">
        <f>SUM(N24:Q24)</f>
        <v>115.5</v>
      </c>
      <c r="N24" s="79">
        <f>115.5-P24</f>
        <v>115.3</v>
      </c>
      <c r="O24" s="79"/>
      <c r="P24" s="79">
        <v>0.2</v>
      </c>
      <c r="Q24" s="90"/>
    </row>
    <row r="25" spans="1:17" ht="16.5" thickBot="1">
      <c r="A25" s="91"/>
      <c r="B25" s="92" t="s">
        <v>113</v>
      </c>
      <c r="C25" s="93"/>
      <c r="D25" s="94">
        <f>D8-D18-D20-D22-D23-D24-E11-F11-G11</f>
        <v>-1.4210854715202004E-14</v>
      </c>
      <c r="E25" s="94">
        <f>E8-E18-E20-E22-E23-E24-F12-G12</f>
        <v>0</v>
      </c>
      <c r="F25" s="94">
        <f>F8-F18-F20-F22-F23-F24-G13</f>
        <v>-5.551115123125783E-17</v>
      </c>
      <c r="G25" s="95">
        <f>G8-G18-G20-G22-G23-G24</f>
        <v>2.669359800222537E-05</v>
      </c>
      <c r="H25" s="93"/>
      <c r="I25" s="94">
        <f>I8-I18-I20-I22-I23-I24-J11-K11-L11</f>
        <v>0</v>
      </c>
      <c r="J25" s="94">
        <f>J8-J18-J20-J22-J23-J24-K12-L12</f>
        <v>0</v>
      </c>
      <c r="K25" s="94">
        <f>K8-K18-K20-K22-K23-K24-L13</f>
        <v>-5.551115123125783E-17</v>
      </c>
      <c r="L25" s="95">
        <f>L8-L18-L20-L22-L23-L24</f>
        <v>4.921314071149041E-05</v>
      </c>
      <c r="M25" s="93"/>
      <c r="N25" s="94">
        <f>N8-N18-N20-N22-N23-N24-O11-P11-Q11</f>
        <v>1.4210854715202004E-14</v>
      </c>
      <c r="O25" s="94">
        <f>O8-O18-O20-O22-O23-O24-P12-Q12</f>
        <v>0</v>
      </c>
      <c r="P25" s="94">
        <f>P8-P18-P20-P22-P23-P24-Q13</f>
        <v>-5.551115123125783E-17</v>
      </c>
      <c r="Q25" s="95">
        <f>Q8-Q18-Q20-Q22-Q23-Q24</f>
        <v>3.6385695999952006E-05</v>
      </c>
    </row>
    <row r="27" spans="8:9" ht="12.75">
      <c r="H27">
        <f>H21/0.985829</f>
        <v>143.52761403158226</v>
      </c>
      <c r="I27" s="47">
        <f>H27-H21</f>
        <v>2.0339298184415497</v>
      </c>
    </row>
  </sheetData>
  <sheetProtection/>
  <protectedRanges>
    <protectedRange sqref="D22:G24 G11:G12 N14:Q17 N19:Q20 N22:Q24 Q11:Q12 O11 E11 D14:G17 D19:G20 I19:L20 I22:L24 J11 L11:L12 I14:L17" name="Диапазон1"/>
  </protectedRanges>
  <mergeCells count="6">
    <mergeCell ref="A3:Q3"/>
    <mergeCell ref="A5:A6"/>
    <mergeCell ref="B5:B6"/>
    <mergeCell ref="C5:G5"/>
    <mergeCell ref="M5:Q5"/>
    <mergeCell ref="H5:L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KazarinovaRY</cp:lastModifiedBy>
  <cp:lastPrinted>2013-02-11T11:19:32Z</cp:lastPrinted>
  <dcterms:created xsi:type="dcterms:W3CDTF">1996-10-08T23:32:33Z</dcterms:created>
  <dcterms:modified xsi:type="dcterms:W3CDTF">2013-02-12T10:37:49Z</dcterms:modified>
  <cp:category/>
  <cp:version/>
  <cp:contentType/>
  <cp:contentStatus/>
</cp:coreProperties>
</file>